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https://mcadamsco.sharepoint.com/sites/NCD22016.02/Shared Documents/2024 CFI Grant/4_Technical/GIS/CFI_2024/"/>
    </mc:Choice>
  </mc:AlternateContent>
  <xr:revisionPtr revIDLastSave="269" documentId="8_{3218BBB2-C03A-4A1E-956F-D101CF0E5D27}" xr6:coauthVersionLast="47" xr6:coauthVersionMax="47" xr10:uidLastSave="{B6372792-79AD-461B-9421-452767BEC3E9}"/>
  <bookViews>
    <workbookView minimized="1" xWindow="3120" yWindow="780" windowWidth="21600" windowHeight="15420" firstSheet="3" xr2:uid="{C971742E-E521-4981-AE0D-41FBA12ECF8D}"/>
  </bookViews>
  <sheets>
    <sheet name="SUMMARY SHEET" sheetId="9" r:id="rId1"/>
    <sheet name="DAC - half mile" sheetId="2" r:id="rId2"/>
    <sheet name="DAC - 5 miles" sheetId="1" state="hidden" r:id="rId3"/>
    <sheet name="LMI - half mile" sheetId="4" r:id="rId4"/>
    <sheet name="LMI - 5 miles" sheetId="5" state="hidden" r:id="rId5"/>
    <sheet name="TDI - half mile" sheetId="6" r:id="rId6"/>
    <sheet name="Housing Ratio - half mile" sheetId="7" r:id="rId7"/>
    <sheet name="ETC Summary" sheetId="10" r:id="rId8"/>
    <sheet name="Housing Ratio - 5 miles" sheetId="8" state="hidden" r:id="rId9"/>
    <sheet name="Disadvantage Qualifiers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9" l="1"/>
  <c r="F8" i="10"/>
  <c r="C43" i="9"/>
  <c r="C42" i="9"/>
  <c r="C41" i="9"/>
  <c r="C40" i="9"/>
  <c r="E8" i="10"/>
  <c r="D8" i="10"/>
  <c r="C8" i="10"/>
  <c r="B8" i="10"/>
  <c r="H7" i="4"/>
  <c r="H6" i="4"/>
  <c r="G6" i="4"/>
  <c r="C37" i="9"/>
  <c r="C30" i="9" l="1"/>
  <c r="E25" i="9"/>
  <c r="E24" i="9"/>
  <c r="E23" i="9"/>
  <c r="E22" i="9"/>
  <c r="E21" i="9"/>
  <c r="E20" i="9"/>
  <c r="E19" i="9"/>
  <c r="C25" i="9"/>
  <c r="C24" i="9"/>
  <c r="C23" i="9"/>
  <c r="C22" i="9"/>
  <c r="C21" i="9"/>
  <c r="C20" i="9"/>
  <c r="C19" i="9"/>
  <c r="C36" i="9"/>
  <c r="C35" i="9"/>
  <c r="C34" i="9"/>
  <c r="C33" i="9"/>
  <c r="C32" i="9"/>
  <c r="C31" i="9"/>
  <c r="C29" i="9"/>
  <c r="C28" i="9"/>
  <c r="F7" i="7"/>
  <c r="H2" i="7"/>
  <c r="H3" i="7"/>
  <c r="J11" i="7" s="1"/>
  <c r="H4" i="7"/>
  <c r="H5" i="7"/>
  <c r="G2" i="7"/>
  <c r="G3" i="7"/>
  <c r="G4" i="7"/>
  <c r="G5" i="7"/>
  <c r="J10" i="7" s="1"/>
  <c r="F6" i="7"/>
  <c r="D6" i="7"/>
  <c r="C15" i="9"/>
  <c r="C16" i="9" s="1"/>
  <c r="C14" i="9"/>
  <c r="F9" i="7" l="1"/>
  <c r="F10" i="7"/>
  <c r="I12" i="6"/>
  <c r="H12" i="6"/>
  <c r="G12" i="6"/>
  <c r="F12" i="6"/>
  <c r="E12" i="6"/>
  <c r="D12" i="6"/>
  <c r="C12" i="6"/>
  <c r="J7" i="2" l="1"/>
  <c r="C8" i="9" s="1"/>
  <c r="J6" i="2"/>
  <c r="J5" i="2"/>
  <c r="C6" i="9" s="1"/>
  <c r="J4" i="2"/>
  <c r="C7" i="9" s="1"/>
  <c r="J3" i="2"/>
  <c r="C9" i="9" s="1"/>
  <c r="L12" i="1"/>
  <c r="J12" i="1"/>
  <c r="J7" i="1"/>
  <c r="J6" i="1"/>
  <c r="J8" i="1" s="1"/>
  <c r="J5" i="1"/>
  <c r="J4" i="1"/>
  <c r="J3" i="1"/>
  <c r="J8" i="2" l="1"/>
  <c r="C10" i="9"/>
  <c r="C11" i="9" s="1"/>
  <c r="J2" i="2"/>
  <c r="L2" i="2" s="1"/>
  <c r="J2" i="1"/>
  <c r="L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tc={2701A4DF-786F-4381-812D-B427452B5582}</author>
  </authors>
  <commentList>
    <comment ref="B3" authorId="0" shapeId="0" xr:uid="{2701A4DF-786F-4381-812D-B427452B5582}">
      <text>
        <t>[Threaded comment]
Your version of Excel allows you to read this threaded comment; however, any edits to it will get removed if the file is opened in a newer version of Excel. Learn more: https://go.microsoft.com/fwlink/?linkid=870924
Comment:
    EC considered rural as UA has less than 50,000 people</t>
      </text>
    </comment>
  </commentList>
</comments>
</file>

<file path=xl/sharedStrings.xml><?xml version="1.0" encoding="utf-8"?>
<sst xmlns="http://schemas.openxmlformats.org/spreadsheetml/2006/main" count="323" uniqueCount="142">
  <si>
    <t>ECSU</t>
  </si>
  <si>
    <t>1/2 mile</t>
  </si>
  <si>
    <t>5 miles</t>
  </si>
  <si>
    <t>Statewide comparison</t>
  </si>
  <si>
    <t>Total Census Tracts</t>
  </si>
  <si>
    <t>Total Block Groups</t>
  </si>
  <si>
    <t>DAC</t>
  </si>
  <si>
    <t>Total CT Population</t>
  </si>
  <si>
    <t>Total NOT Disadvantaged CTs</t>
  </si>
  <si>
    <t>Total NOT Disadvantaged Population</t>
  </si>
  <si>
    <t>Total Disadvantaged CTs</t>
  </si>
  <si>
    <t>Total Disadvantaged Population</t>
  </si>
  <si>
    <t>% of Population Living in Disadvantaged CTs</t>
  </si>
  <si>
    <t>LMI</t>
  </si>
  <si>
    <t>Total Population Included in LMI Analysis</t>
  </si>
  <si>
    <t>Total Population Categorized as LMI</t>
  </si>
  <si>
    <t>% of Population Categorized as LMI</t>
  </si>
  <si>
    <t>TDI (based on Block Group)</t>
  </si>
  <si>
    <t>% Minority</t>
  </si>
  <si>
    <t>% Poverty</t>
  </si>
  <si>
    <t>% Senior</t>
  </si>
  <si>
    <t>% BIPOC</t>
  </si>
  <si>
    <t>% Zero Car</t>
  </si>
  <si>
    <t>% Disability</t>
  </si>
  <si>
    <t>% LEP</t>
  </si>
  <si>
    <t>Housing Ratio</t>
  </si>
  <si>
    <t>Total Number of MUDs (without dorms)</t>
  </si>
  <si>
    <t>Total Number of MUDs (with dorms)</t>
  </si>
  <si>
    <t>Total Number of Dorms</t>
  </si>
  <si>
    <t>Total Number of SF homes</t>
  </si>
  <si>
    <t>Ratio of MUD:SF (without dorms)</t>
  </si>
  <si>
    <t>Ratio of MUD:SF (with dorms)</t>
  </si>
  <si>
    <t>Average CT Ratio of MUD:SF (without dorms)</t>
  </si>
  <si>
    <t>Average CT Ratio of MUD:SF (with dorms)</t>
  </si>
  <si>
    <t>Percent CTs with higher housing ratio than statewide average</t>
  </si>
  <si>
    <t>Total dwelling units (MUD+SF)</t>
  </si>
  <si>
    <t>Equitable Transportation Community (ETC) Explorer</t>
  </si>
  <si>
    <t>Climate + Disaster Risk Burden</t>
  </si>
  <si>
    <t>Environmental Burden</t>
  </si>
  <si>
    <t>Health Vulnerability</t>
  </si>
  <si>
    <t>Social Vulnerability</t>
  </si>
  <si>
    <t>Transportation Insecurity</t>
  </si>
  <si>
    <t>GEOID10</t>
  </si>
  <si>
    <t>HBCU</t>
  </si>
  <si>
    <t>CF</t>
  </si>
  <si>
    <t>TPF</t>
  </si>
  <si>
    <t>SN_C</t>
  </si>
  <si>
    <t>Pasquotank County</t>
  </si>
  <si>
    <t>% Disadvantaged census tracts</t>
  </si>
  <si>
    <t>Total Disadvantaged Census Tracts</t>
  </si>
  <si>
    <t>Total Not Disadvantaged Census Tracts</t>
  </si>
  <si>
    <t>Total Population of Census Tracts within 0.5 mile</t>
  </si>
  <si>
    <t>Total Population of Disadvantaged Census Tracts within 0.5 mile</t>
  </si>
  <si>
    <t>Total Population of Not Disadvantaged Census Tracts within 0.5 mile</t>
  </si>
  <si>
    <t>% of Population living in Disadvantaged Census Tracts</t>
  </si>
  <si>
    <t>Total area within 0.5 mile buffer</t>
  </si>
  <si>
    <t>37029950101</t>
  </si>
  <si>
    <t>Camden County</t>
  </si>
  <si>
    <t>% disadvantaged census tracts</t>
  </si>
  <si>
    <t>37029950102</t>
  </si>
  <si>
    <t>37139960501</t>
  </si>
  <si>
    <t>37139960502</t>
  </si>
  <si>
    <t>Total Population of Census Tracts within 5 mile</t>
  </si>
  <si>
    <t>37139960701</t>
  </si>
  <si>
    <t>Total Population of Disadvantaged Census Tracts within 5 mile</t>
  </si>
  <si>
    <t>37139960702</t>
  </si>
  <si>
    <t>Total Population of Not Disadvantaged Census Tracts within 5 mile</t>
  </si>
  <si>
    <t>37139960400</t>
  </si>
  <si>
    <t>37139960100</t>
  </si>
  <si>
    <t>37139960200</t>
  </si>
  <si>
    <t>Total area within 5 mile buffer</t>
  </si>
  <si>
    <t>37139960300</t>
  </si>
  <si>
    <t>Total Urbanized Area within 5 mile buffer</t>
  </si>
  <si>
    <t>37139960600</t>
  </si>
  <si>
    <t>% of Urbanized Area within 5 mile buffer</t>
  </si>
  <si>
    <t>OBJECTID *</t>
  </si>
  <si>
    <t>SHAPE *</t>
  </si>
  <si>
    <t>GEOID</t>
  </si>
  <si>
    <t>STATE *</t>
  </si>
  <si>
    <t>COUNTY *</t>
  </si>
  <si>
    <t>TRACT</t>
  </si>
  <si>
    <t>LOWMOD</t>
  </si>
  <si>
    <t>LOWMODUNIV</t>
  </si>
  <si>
    <t>LOWMODPCT *</t>
  </si>
  <si>
    <t>UCLMOD</t>
  </si>
  <si>
    <t>UCLMODU</t>
  </si>
  <si>
    <t>UCLMODPCT</t>
  </si>
  <si>
    <t>SHAPE_Length</t>
  </si>
  <si>
    <t>SHAPE_Area</t>
  </si>
  <si>
    <t>Polygon</t>
  </si>
  <si>
    <t>&lt;Null&gt;</t>
  </si>
  <si>
    <t>Minor_pct</t>
  </si>
  <si>
    <t>Poverty_pct</t>
  </si>
  <si>
    <t>Senior_pct</t>
  </si>
  <si>
    <t>BIPOC_pct</t>
  </si>
  <si>
    <t>ZeroCar_pct</t>
  </si>
  <si>
    <t>Disability_pct</t>
  </si>
  <si>
    <t>LEP_pct</t>
  </si>
  <si>
    <t>Score_State</t>
  </si>
  <si>
    <t>Score_Division</t>
  </si>
  <si>
    <t>Score_MPO</t>
  </si>
  <si>
    <t>Score_County</t>
  </si>
  <si>
    <t>Key_CountyFIPS</t>
  </si>
  <si>
    <t>Key_DivNbr</t>
  </si>
  <si>
    <t>Key_MPO</t>
  </si>
  <si>
    <t>Albemarle RPO</t>
  </si>
  <si>
    <t>Project Avg</t>
  </si>
  <si>
    <t>Statewide</t>
  </si>
  <si>
    <t>Shape *</t>
  </si>
  <si>
    <t>FIPS</t>
  </si>
  <si>
    <t xml:space="preserve">Detached 1 units </t>
  </si>
  <si>
    <t>Dorm</t>
  </si>
  <si>
    <t xml:space="preserve">Multifamily units </t>
  </si>
  <si>
    <t>Housing Ratio with Dorms</t>
  </si>
  <si>
    <t>Shape_Length</t>
  </si>
  <si>
    <t>Shape_Area</t>
  </si>
  <si>
    <t>Total with dorms</t>
  </si>
  <si>
    <t>By Unit</t>
  </si>
  <si>
    <t xml:space="preserve">Housing Ratio without Dorm </t>
  </si>
  <si>
    <t>For Census Tracts</t>
  </si>
  <si>
    <t>Housing Ratio with dorm</t>
  </si>
  <si>
    <t>Average ratio without dorm</t>
  </si>
  <si>
    <t>Average ratio with dorm</t>
  </si>
  <si>
    <t>Census Tracts</t>
  </si>
  <si>
    <t>ETC Explorer Findings*</t>
  </si>
  <si>
    <t>CEJST</t>
  </si>
  <si>
    <t>CT 9601.00</t>
  </si>
  <si>
    <t>Yes</t>
  </si>
  <si>
    <t>CT 9602.00</t>
  </si>
  <si>
    <t>No</t>
  </si>
  <si>
    <t>CT 9607.01</t>
  </si>
  <si>
    <t>CT 9603.00</t>
  </si>
  <si>
    <t>Project Area Average</t>
  </si>
  <si>
    <t>*Note: Table cells highlighted in red identify indicators for which the census tract qualifies as disadvantaged (score of 65% or higher).</t>
  </si>
  <si>
    <t>housingratio</t>
  </si>
  <si>
    <t xml:space="preserve">count of low-income persons </t>
  </si>
  <si>
    <t>count of low-mod income persons</t>
  </si>
  <si>
    <t>Disadvanted if:</t>
  </si>
  <si>
    <t>1. Within Tribal lands owned by Federally Recognized Tribes</t>
  </si>
  <si>
    <t>2. Within a rural community (outside of a census defined urbanized area)</t>
  </si>
  <si>
    <t>3. Within a disadvantaged community in a census defined urbanized area</t>
  </si>
  <si>
    <t>4. Within a half mile buffer of a disadvantaged community in a census defined urbanized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</si>
</sst>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E8E8E8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0" fillId="3" borderId="3" xfId="0" applyNumberFormat="1" applyFill="1" applyBorder="1"/>
    <xf numFmtId="1" fontId="0" fillId="3" borderId="4" xfId="0" applyNumberFormat="1" applyFill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0" fontId="0" fillId="0" borderId="0" xfId="1" applyNumberFormat="1" applyFont="1"/>
    <xf numFmtId="1" fontId="0" fillId="3" borderId="5" xfId="0" applyNumberFormat="1" applyFill="1" applyBorder="1"/>
    <xf numFmtId="0" fontId="0" fillId="0" borderId="5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0" fillId="0" borderId="4" xfId="0" applyBorder="1"/>
    <xf numFmtId="0" fontId="2" fillId="4" borderId="0" xfId="0" applyFont="1" applyFill="1" applyAlignment="1">
      <alignment wrapText="1"/>
    </xf>
    <xf numFmtId="0" fontId="2" fillId="4" borderId="0" xfId="0" applyFont="1" applyFill="1"/>
    <xf numFmtId="0" fontId="0" fillId="5" borderId="0" xfId="0" applyFill="1" applyAlignment="1">
      <alignment wrapText="1"/>
    </xf>
    <xf numFmtId="0" fontId="3" fillId="6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1" fontId="2" fillId="2" borderId="6" xfId="0" applyNumberFormat="1" applyFont="1" applyFill="1" applyBorder="1"/>
    <xf numFmtId="1" fontId="2" fillId="2" borderId="3" xfId="0" applyNumberFormat="1" applyFont="1" applyFill="1" applyBorder="1"/>
    <xf numFmtId="10" fontId="2" fillId="2" borderId="3" xfId="1" applyNumberFormat="1" applyFont="1" applyFill="1" applyBorder="1"/>
    <xf numFmtId="1" fontId="0" fillId="3" borderId="6" xfId="0" applyNumberFormat="1" applyFill="1" applyBorder="1"/>
    <xf numFmtId="10" fontId="0" fillId="3" borderId="3" xfId="1" applyNumberFormat="1" applyFont="1" applyFill="1" applyBorder="1"/>
    <xf numFmtId="1" fontId="0" fillId="0" borderId="6" xfId="0" applyNumberFormat="1" applyBorder="1"/>
    <xf numFmtId="10" fontId="0" fillId="0" borderId="3" xfId="1" applyNumberFormat="1" applyFont="1" applyBorder="1"/>
    <xf numFmtId="0" fontId="2" fillId="7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9" fontId="0" fillId="0" borderId="0" xfId="1" applyFont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10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10" fontId="3" fillId="0" borderId="0" xfId="1" applyNumberFormat="1" applyFont="1"/>
    <xf numFmtId="1" fontId="3" fillId="0" borderId="0" xfId="0" applyNumberFormat="1" applyFont="1"/>
    <xf numFmtId="10" fontId="0" fillId="13" borderId="3" xfId="1" applyNumberFormat="1" applyFont="1" applyFill="1" applyBorder="1"/>
    <xf numFmtId="0" fontId="5" fillId="14" borderId="12" xfId="0" applyFont="1" applyFill="1" applyBorder="1" applyAlignment="1">
      <alignment vertical="center" wrapText="1"/>
    </xf>
    <xf numFmtId="9" fontId="0" fillId="0" borderId="0" xfId="0" applyNumberFormat="1"/>
    <xf numFmtId="9" fontId="5" fillId="15" borderId="12" xfId="0" applyNumberFormat="1" applyFont="1" applyFill="1" applyBorder="1" applyAlignment="1">
      <alignment vertical="center"/>
    </xf>
    <xf numFmtId="9" fontId="4" fillId="0" borderId="12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9" fontId="5" fillId="15" borderId="18" xfId="0" applyNumberFormat="1" applyFont="1" applyFill="1" applyBorder="1" applyAlignment="1">
      <alignment vertical="center"/>
    </xf>
    <xf numFmtId="9" fontId="4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5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12" borderId="0" xfId="0" applyFont="1" applyFill="1"/>
    <xf numFmtId="0" fontId="5" fillId="14" borderId="15" xfId="0" applyFont="1" applyFill="1" applyBorder="1" applyAlignment="1">
      <alignment vertical="center"/>
    </xf>
    <xf numFmtId="0" fontId="5" fillId="14" borderId="16" xfId="0" applyFont="1" applyFill="1" applyBorder="1" applyAlignment="1">
      <alignment vertical="center"/>
    </xf>
    <xf numFmtId="0" fontId="6" fillId="14" borderId="20" xfId="0" applyFont="1" applyFill="1" applyBorder="1" applyAlignment="1">
      <alignment vertical="center"/>
    </xf>
    <xf numFmtId="0" fontId="6" fillId="14" borderId="18" xfId="0" applyFont="1" applyFill="1" applyBorder="1" applyAlignment="1">
      <alignment vertical="center"/>
    </xf>
    <xf numFmtId="0" fontId="6" fillId="14" borderId="1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16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" formatCode="0"/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opher Normile" id="{0C1157C4-1CB4-4214-85D8-7F5657971D99}" userId="S::normile@mcadamsco.com::55a2f1ce-d6ad-4020-a187-743ea8a7864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4B67A2-7A30-4B70-ABA0-54C5FF0A873B}" name="Table8" displayName="Table8" ref="A1:E5" totalsRowShown="0" headerRowDxfId="15" headerRowBorderDxfId="13" tableBorderDxfId="14" totalsRowBorderDxfId="12">
  <autoFilter ref="A1:E5" xr:uid="{A44B67A2-7A30-4B70-ABA0-54C5FF0A873B}"/>
  <tableColumns count="5">
    <tableColumn id="1" xr3:uid="{41CB3E27-187A-465B-A394-36F96C4E4C7E}" name="GEOID10"/>
    <tableColumn id="2" xr3:uid="{13B6E490-BF3F-41A1-862C-BD051955FD81}" name="HBCU"/>
    <tableColumn id="3" xr3:uid="{A421C93C-A387-4120-9E5C-59B3FC48EA01}" name="CF"/>
    <tableColumn id="4" xr3:uid="{36C6EC0E-C2CE-4751-9A19-77F4166A6DDC}" name="TPF"/>
    <tableColumn id="5" xr3:uid="{24395724-073D-49D4-B365-DF35CC285DAB}" name="SN_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2BDBD-D238-4E3A-8EC4-AD82B196E9B8}" name="Table2" displayName="Table2" ref="A1:E12" totalsRowShown="0" headerRowDxfId="11" dataDxfId="10" headerRowBorderDxfId="8" tableBorderDxfId="9" totalsRowBorderDxfId="7">
  <autoFilter ref="A1:E12" xr:uid="{86A2BDBD-D238-4E3A-8EC4-AD82B196E9B8}"/>
  <tableColumns count="5">
    <tableColumn id="1" xr3:uid="{78EB1EDF-A9D3-4627-9D63-717B4CFCEEBB}" name="GEOID10" dataDxfId="6"/>
    <tableColumn id="2" xr3:uid="{ECE908A0-287D-476C-A259-19F1510ABB70}" name="HBCU" dataDxfId="5"/>
    <tableColumn id="3" xr3:uid="{EC6FD056-5022-4B00-A49F-B735E6CB5DB6}" name="CF" dataDxfId="4"/>
    <tableColumn id="4" xr3:uid="{4A78C83C-347E-4D03-9E6F-D9855F609BD3}" name="TPF" dataDxfId="3"/>
    <tableColumn id="5" xr3:uid="{353BC0EA-BA04-4F2F-9484-0070FDB63B04}" name="SN_C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3888F5-DFB8-496C-B9BB-957A507360C5}" name="Table1" displayName="Table1" ref="A1:N5" totalsRowShown="0">
  <autoFilter ref="A1:N5" xr:uid="{5B3888F5-DFB8-496C-B9BB-957A507360C5}"/>
  <tableColumns count="14">
    <tableColumn id="1" xr3:uid="{8AC5E8A0-B223-40DE-9925-69D7DE9E31D9}" name="OBJECTID *"/>
    <tableColumn id="2" xr3:uid="{DE1F5530-8992-456E-A7FF-93701D497400}" name="SHAPE *"/>
    <tableColumn id="3" xr3:uid="{5864B870-51C8-4E8F-A0E3-D69D153F70F4}" name="GEOID"/>
    <tableColumn id="4" xr3:uid="{76B72CCB-89B2-4992-B86A-1666B340A125}" name="STATE *"/>
    <tableColumn id="5" xr3:uid="{355A721A-A480-4351-9351-4089F96E13EF}" name="COUNTY *"/>
    <tableColumn id="6" xr3:uid="{914C7A56-17A4-47D2-A5A0-D6E58494A66A}" name="TRACT"/>
    <tableColumn id="7" xr3:uid="{81ABAF7D-8090-4ACB-BFFE-06F3C8B05D26}" name="LOWMOD"/>
    <tableColumn id="8" xr3:uid="{FA4DD777-491B-493E-A18D-046E2BE00016}" name="LOWMODUNIV"/>
    <tableColumn id="9" xr3:uid="{55E2E1F4-4792-432C-B573-66FACCA2F2BC}" name="LOWMODPCT *"/>
    <tableColumn id="10" xr3:uid="{5412D2E1-F0A3-41E2-80A6-C2D6203714C0}" name="UCLMOD"/>
    <tableColumn id="11" xr3:uid="{77FA2165-F0B9-49F3-A0D2-7B3EB34B4D50}" name="UCLMODU"/>
    <tableColumn id="12" xr3:uid="{BA660805-D5FB-4195-B331-94D395938D44}" name="UCLMODPCT"/>
    <tableColumn id="13" xr3:uid="{7882E26A-B4A5-48F1-AFD9-F06605915AD0}" name="SHAPE_Length"/>
    <tableColumn id="14" xr3:uid="{23825297-DF0A-490C-B680-16E4066BC638}" name="SHAPE_Are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06AE88-B5A7-4676-B2BD-2C696C605D40}" name="Table25" displayName="Table25" ref="A1:N12" totalsRowShown="0">
  <autoFilter ref="A1:N12" xr:uid="{DF06AE88-B5A7-4676-B2BD-2C696C605D40}"/>
  <tableColumns count="14">
    <tableColumn id="1" xr3:uid="{A8734749-8511-4882-86F1-F78EF5C0D0E6}" name="OBJECTID *"/>
    <tableColumn id="2" xr3:uid="{6D472BE5-27CA-4FB6-BEFD-D26D956D4D57}" name="SHAPE *"/>
    <tableColumn id="3" xr3:uid="{9D592C61-6909-47D2-A0F2-10531DC9133E}" name="GEOID"/>
    <tableColumn id="4" xr3:uid="{A1F702A4-4D69-4B9E-BC66-17678FB20F7B}" name="STATE *"/>
    <tableColumn id="5" xr3:uid="{05D44873-C2AF-4D51-87BE-3E87D4C11D15}" name="COUNTY *"/>
    <tableColumn id="6" xr3:uid="{FC3B4CFA-08CD-4816-BC64-EA790C2AAD54}" name="TRACT"/>
    <tableColumn id="7" xr3:uid="{576B30F4-3B8F-4E56-9EAB-826B964F05FC}" name="LOWMOD"/>
    <tableColumn id="8" xr3:uid="{0C999F07-7C4F-4104-8D05-21090AD08C55}" name="LOWMODUNIV"/>
    <tableColumn id="9" xr3:uid="{A5D001D8-00A9-445D-A482-5CBBB038B64C}" name="LOWMODPCT *"/>
    <tableColumn id="10" xr3:uid="{92DA13DB-D7C4-478D-8D96-5FE5E602B875}" name="UCLMOD"/>
    <tableColumn id="11" xr3:uid="{3E060D1A-7A1E-4A30-8652-594718FB5BF2}" name="UCLMODU"/>
    <tableColumn id="12" xr3:uid="{B061F4AD-867C-484B-A74A-B350F8F11C2F}" name="UCLMODPCT"/>
    <tableColumn id="13" xr3:uid="{737507CD-0499-44F6-88ED-2C28AEC0F70B}" name="SHAPE_Length"/>
    <tableColumn id="14" xr3:uid="{E3B9B40E-F904-4D87-B857-E1D4FCB8F4D6}" name="SHAPE_Are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A98224-59A6-4E4A-812E-6E94527BF260}" name="Table16" displayName="Table16" ref="A1:J6" totalsRowCount="1">
  <autoFilter ref="A1:J5" xr:uid="{D2A98224-59A6-4E4A-812E-6E94527BF260}"/>
  <tableColumns count="10">
    <tableColumn id="1" xr3:uid="{B731DF60-A25A-4FAB-8D9D-D540CF044EDF}" name="OBJECTID *"/>
    <tableColumn id="2" xr3:uid="{C9ED3353-37C1-47E1-B621-D267DD929E56}" name="Shape *"/>
    <tableColumn id="3" xr3:uid="{032A1331-11B8-4B66-88E9-2E7181D40CFD}" name="FIPS"/>
    <tableColumn id="4" xr3:uid="{EE192E0A-3A80-4C6A-A699-65BCCA74F024}" name="Detached 1 units " totalsRowFunction="custom">
      <totalsRowFormula>SUM(Table16[[Detached 1 units ]])</totalsRowFormula>
    </tableColumn>
    <tableColumn id="11" xr3:uid="{5518F064-A99E-433F-9F2B-93B72B9D5C65}" name="Dorm"/>
    <tableColumn id="5" xr3:uid="{EB68D06D-6B25-46C1-8813-80CB8C27F8D9}" name="Multifamily units " totalsRowFunction="custom">
      <totalsRowFormula>SUM(Table16[[Multifamily units ]])</totalsRowFormula>
    </tableColumn>
    <tableColumn id="12" xr3:uid="{A406A099-551F-4A95-991E-9F24983B9BF1}" name="Housing Ratio" dataDxfId="1">
      <calculatedColumnFormula>F2/D2</calculatedColumnFormula>
    </tableColumn>
    <tableColumn id="13" xr3:uid="{58C53F4F-73FB-49C7-847B-F73E59EA56EF}" name="Housing Ratio with Dorms" dataDxfId="0">
      <calculatedColumnFormula>(F2+E2)/D2</calculatedColumnFormula>
    </tableColumn>
    <tableColumn id="6" xr3:uid="{D57510D6-28EB-4521-A106-1C9EBA38039A}" name="Shape_Length"/>
    <tableColumn id="7" xr3:uid="{EF5CAB28-34BB-4593-A7F8-1AB1B6C94A80}" name="Shape_Are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73D0C2C-0370-4440-BC1E-BBA85272A12C}" name="Table4" displayName="Table4" ref="A1:J12" totalsRowShown="0">
  <autoFilter ref="A1:J12" xr:uid="{173D0C2C-0370-4440-BC1E-BBA85272A12C}"/>
  <tableColumns count="10">
    <tableColumn id="1" xr3:uid="{3B11009C-B025-4DB2-9C82-D48024C69E3D}" name="OBJECTID *"/>
    <tableColumn id="2" xr3:uid="{20CE0E1C-4E12-4B41-9793-AB3C4A032F3E}" name="Shape *"/>
    <tableColumn id="3" xr3:uid="{EF95E95D-D480-44C6-B6E8-63FCD931868A}" name="FIPS"/>
    <tableColumn id="4" xr3:uid="{6D98D264-D570-4820-BAC6-DF64920A267C}" name="Detached 1 units "/>
    <tableColumn id="5" xr3:uid="{E6D2D860-58B5-42E6-88BA-4CB04FA48F33}" name="Multifamily units "/>
    <tableColumn id="6" xr3:uid="{CA1232DD-1D73-4756-8455-5EFE6F8377C4}" name="Shape_Length"/>
    <tableColumn id="7" xr3:uid="{E865D557-06D2-4ED9-BD1C-5FCA5D94EBEE}" name="Shape_Area"/>
    <tableColumn id="8" xr3:uid="{80994A5D-0BE1-484B-9E1F-84B1B58C4BE9}" name="housingratio"/>
    <tableColumn id="9" xr3:uid="{BBDF311F-A0A8-415E-83A4-45DF54224DE4}" name="count of low-income persons "/>
    <tableColumn id="10" xr3:uid="{0EF25B56-4A57-4268-90BA-B837BA376D12}" name="count of low-mod income pers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8-13T13:23:46.47" personId="{0C1157C4-1CB4-4214-85D8-7F5657971D99}" id="{2701A4DF-786F-4381-812D-B427452B5582}">
    <text>EC considered rural as UA has less than 50,000 people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170D-BEA5-4A9C-AA5C-9F0D04DC0015}">
  <sheetPr>
    <tabColor theme="4"/>
  </sheetPr>
  <dimension ref="A1:E44"/>
  <sheetViews>
    <sheetView tabSelected="1" topLeftCell="A10" workbookViewId="0">
      <selection activeCell="G21" sqref="G21"/>
    </sheetView>
  </sheetViews>
  <sheetFormatPr defaultRowHeight="15"/>
  <cols>
    <col min="1" max="1" width="55.5703125" bestFit="1" customWidth="1"/>
    <col min="2" max="2" width="2.85546875" customWidth="1"/>
    <col min="3" max="3" width="12" bestFit="1" customWidth="1"/>
    <col min="4" max="4" width="0" hidden="1" customWidth="1"/>
    <col min="5" max="5" width="21.42578125" bestFit="1" customWidth="1"/>
  </cols>
  <sheetData>
    <row r="1" spans="1:5" s="30" customFormat="1">
      <c r="A1" s="30" t="s">
        <v>0</v>
      </c>
      <c r="C1" s="30" t="s">
        <v>1</v>
      </c>
      <c r="D1" s="30" t="s">
        <v>2</v>
      </c>
      <c r="E1" s="30" t="s">
        <v>3</v>
      </c>
    </row>
    <row r="2" spans="1:5">
      <c r="A2" t="s">
        <v>4</v>
      </c>
      <c r="C2">
        <v>4</v>
      </c>
      <c r="D2">
        <v>11</v>
      </c>
    </row>
    <row r="3" spans="1:5">
      <c r="A3" t="s">
        <v>5</v>
      </c>
      <c r="C3">
        <v>8</v>
      </c>
      <c r="D3" s="35"/>
    </row>
    <row r="5" spans="1:5" s="31" customFormat="1">
      <c r="A5" s="52" t="s">
        <v>6</v>
      </c>
    </row>
    <row r="6" spans="1:5">
      <c r="A6" s="50" t="s">
        <v>7</v>
      </c>
      <c r="B6" s="50"/>
      <c r="C6" s="57">
        <f>'DAC - half mile'!J5</f>
        <v>14061</v>
      </c>
    </row>
    <row r="7" spans="1:5">
      <c r="A7" t="s">
        <v>8</v>
      </c>
      <c r="C7">
        <f>'DAC - half mile'!J4</f>
        <v>1</v>
      </c>
    </row>
    <row r="8" spans="1:5">
      <c r="A8" t="s">
        <v>9</v>
      </c>
      <c r="C8">
        <f>'DAC - half mile'!J7</f>
        <v>4523</v>
      </c>
    </row>
    <row r="9" spans="1:5">
      <c r="A9" s="50" t="s">
        <v>10</v>
      </c>
      <c r="B9" s="50"/>
      <c r="C9" s="50">
        <f>'DAC - half mile'!J3</f>
        <v>3</v>
      </c>
    </row>
    <row r="10" spans="1:5">
      <c r="A10" s="50" t="s">
        <v>11</v>
      </c>
      <c r="B10" s="50"/>
      <c r="C10" s="50">
        <f>'DAC - half mile'!J6</f>
        <v>9538</v>
      </c>
    </row>
    <row r="11" spans="1:5">
      <c r="A11" s="50" t="s">
        <v>12</v>
      </c>
      <c r="B11" s="50"/>
      <c r="C11" s="56">
        <f>C10/C6</f>
        <v>0.67833013299196354</v>
      </c>
      <c r="D11" s="8"/>
    </row>
    <row r="13" spans="1:5" s="32" customFormat="1">
      <c r="A13" s="53" t="s">
        <v>13</v>
      </c>
    </row>
    <row r="14" spans="1:5">
      <c r="A14" t="s">
        <v>14</v>
      </c>
      <c r="C14">
        <f>SUM(Table1[LOWMODUNIV])</f>
        <v>13805</v>
      </c>
    </row>
    <row r="15" spans="1:5">
      <c r="A15" s="50" t="s">
        <v>15</v>
      </c>
      <c r="B15" s="50"/>
      <c r="C15" s="50">
        <f>SUM(Table1[LOWMOD])</f>
        <v>6680</v>
      </c>
    </row>
    <row r="16" spans="1:5">
      <c r="A16" s="50" t="s">
        <v>16</v>
      </c>
      <c r="B16" s="50"/>
      <c r="C16" s="56">
        <f>C15/C14</f>
        <v>0.48388265121332852</v>
      </c>
      <c r="D16" s="36"/>
    </row>
    <row r="18" spans="1:5" s="33" customFormat="1">
      <c r="A18" s="54" t="s">
        <v>17</v>
      </c>
    </row>
    <row r="19" spans="1:5">
      <c r="A19" t="s">
        <v>18</v>
      </c>
      <c r="C19" s="49">
        <f>'TDI - half mile'!C12</f>
        <v>0.20433074999999998</v>
      </c>
      <c r="E19" s="49">
        <f>'TDI - half mile'!C13</f>
        <v>0.2</v>
      </c>
    </row>
    <row r="20" spans="1:5">
      <c r="A20" s="50" t="s">
        <v>19</v>
      </c>
      <c r="B20" s="50"/>
      <c r="C20" s="51">
        <f>'TDI - half mile'!D12</f>
        <v>0.34927799999999998</v>
      </c>
      <c r="E20" s="49">
        <f>'TDI - half mile'!D13</f>
        <v>0.23</v>
      </c>
    </row>
    <row r="21" spans="1:5">
      <c r="A21" t="s">
        <v>20</v>
      </c>
      <c r="C21" s="49">
        <f>'TDI - half mile'!E12</f>
        <v>0.18853112500000002</v>
      </c>
      <c r="E21" s="49">
        <f>'TDI - half mile'!E13</f>
        <v>0.16</v>
      </c>
    </row>
    <row r="22" spans="1:5">
      <c r="A22" s="50" t="s">
        <v>21</v>
      </c>
      <c r="B22" s="50"/>
      <c r="C22" s="51">
        <f>'TDI - half mile'!F12</f>
        <v>0.62392599999999998</v>
      </c>
      <c r="E22" s="49">
        <f>'TDI - half mile'!F13</f>
        <v>0.37</v>
      </c>
    </row>
    <row r="23" spans="1:5">
      <c r="A23" s="50" t="s">
        <v>22</v>
      </c>
      <c r="B23" s="50"/>
      <c r="C23" s="51">
        <f>'TDI - half mile'!G12</f>
        <v>0.10173175000000001</v>
      </c>
      <c r="E23" s="49">
        <f>'TDI - half mile'!G13</f>
        <v>0.06</v>
      </c>
    </row>
    <row r="24" spans="1:5">
      <c r="A24" t="s">
        <v>23</v>
      </c>
      <c r="C24" s="49">
        <f>'TDI - half mile'!H12</f>
        <v>0.198073375</v>
      </c>
      <c r="E24" s="49">
        <f>'TDI - half mile'!H13</f>
        <v>0.16</v>
      </c>
    </row>
    <row r="25" spans="1:5">
      <c r="A25" t="s">
        <v>24</v>
      </c>
      <c r="C25" s="49">
        <f>'TDI - half mile'!I12</f>
        <v>8.553125E-3</v>
      </c>
      <c r="E25" s="49">
        <f>'TDI - half mile'!I13</f>
        <v>0.04</v>
      </c>
    </row>
    <row r="27" spans="1:5" s="34" customFormat="1">
      <c r="A27" s="55" t="s">
        <v>25</v>
      </c>
    </row>
    <row r="28" spans="1:5">
      <c r="A28" t="s">
        <v>26</v>
      </c>
      <c r="C28">
        <f>Table16[[#Totals],[Multifamily units ]]</f>
        <v>1976</v>
      </c>
    </row>
    <row r="29" spans="1:5">
      <c r="A29" t="s">
        <v>27</v>
      </c>
      <c r="C29">
        <f>'Housing Ratio - half mile'!F7</f>
        <v>2478</v>
      </c>
    </row>
    <row r="30" spans="1:5">
      <c r="A30" t="s">
        <v>28</v>
      </c>
      <c r="C30">
        <f>C29-C28</f>
        <v>502</v>
      </c>
    </row>
    <row r="31" spans="1:5">
      <c r="A31" t="s">
        <v>29</v>
      </c>
      <c r="C31">
        <f>Table16[[#Totals],[Detached 1 units ]]</f>
        <v>3624</v>
      </c>
    </row>
    <row r="32" spans="1:5">
      <c r="A32" t="s">
        <v>30</v>
      </c>
      <c r="C32">
        <f>'Housing Ratio - half mile'!F9</f>
        <v>0.54525386313465785</v>
      </c>
    </row>
    <row r="33" spans="1:3">
      <c r="A33" t="s">
        <v>31</v>
      </c>
      <c r="C33">
        <f>'Housing Ratio - half mile'!F10</f>
        <v>0.68377483443708609</v>
      </c>
    </row>
    <row r="34" spans="1:3">
      <c r="A34" t="s">
        <v>32</v>
      </c>
      <c r="C34">
        <f>'Housing Ratio - half mile'!J10</f>
        <v>0.97082779757006532</v>
      </c>
    </row>
    <row r="35" spans="1:3">
      <c r="A35" t="s">
        <v>33</v>
      </c>
      <c r="C35">
        <f>'Housing Ratio - half mile'!J11</f>
        <v>1.0788312399108571</v>
      </c>
    </row>
    <row r="36" spans="1:3">
      <c r="A36" t="s">
        <v>34</v>
      </c>
      <c r="C36" s="36">
        <f>3/4</f>
        <v>0.75</v>
      </c>
    </row>
    <row r="37" spans="1:3">
      <c r="A37" t="s">
        <v>35</v>
      </c>
      <c r="C37">
        <f>C28+C31</f>
        <v>5600</v>
      </c>
    </row>
    <row r="39" spans="1:3" s="35" customFormat="1">
      <c r="A39" s="74" t="s">
        <v>36</v>
      </c>
    </row>
    <row r="40" spans="1:3">
      <c r="A40" s="73" t="s">
        <v>37</v>
      </c>
      <c r="C40" s="60">
        <f>'ETC Summary'!B8</f>
        <v>0.79249999999999998</v>
      </c>
    </row>
    <row r="41" spans="1:3">
      <c r="A41" s="73" t="s">
        <v>38</v>
      </c>
      <c r="C41" s="60">
        <f>'ETC Summary'!C8</f>
        <v>0.55500000000000005</v>
      </c>
    </row>
    <row r="42" spans="1:3">
      <c r="A42" s="73" t="s">
        <v>39</v>
      </c>
      <c r="C42" s="60">
        <f>'ETC Summary'!D8</f>
        <v>0.76500000000000001</v>
      </c>
    </row>
    <row r="43" spans="1:3">
      <c r="A43" s="73" t="s">
        <v>40</v>
      </c>
      <c r="C43" s="60">
        <f>'ETC Summary'!E8</f>
        <v>0.75249999999999995</v>
      </c>
    </row>
    <row r="44" spans="1:3">
      <c r="A44" s="73" t="s">
        <v>41</v>
      </c>
      <c r="C44" s="60">
        <f>'ETC Summary'!F8</f>
        <v>0.49249999999999999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5E72-8352-4CC5-9478-6E99D775263C}">
  <sheetPr>
    <tabColor theme="5"/>
  </sheetPr>
  <dimension ref="A1:L12"/>
  <sheetViews>
    <sheetView zoomScaleNormal="100" workbookViewId="0">
      <selection activeCell="E4" sqref="E4"/>
    </sheetView>
  </sheetViews>
  <sheetFormatPr defaultRowHeight="15"/>
  <cols>
    <col min="1" max="1" width="22.7109375" customWidth="1"/>
    <col min="3" max="3" width="18.28515625" bestFit="1" customWidth="1"/>
    <col min="9" max="9" width="62.42578125" bestFit="1" customWidth="1"/>
    <col min="11" max="11" width="28.85546875" bestFit="1" customWidth="1"/>
  </cols>
  <sheetData>
    <row r="1" spans="1:12">
      <c r="A1" s="11" t="s">
        <v>42</v>
      </c>
      <c r="B1" s="11" t="s">
        <v>43</v>
      </c>
      <c r="C1" s="11" t="s">
        <v>44</v>
      </c>
      <c r="D1" s="11" t="s">
        <v>45</v>
      </c>
      <c r="E1" s="12" t="s">
        <v>46</v>
      </c>
    </row>
    <row r="2" spans="1:12">
      <c r="A2" s="13">
        <v>37139960701</v>
      </c>
      <c r="B2" s="13" t="s">
        <v>0</v>
      </c>
      <c r="C2" s="13" t="s">
        <v>47</v>
      </c>
      <c r="D2" s="13">
        <v>5635</v>
      </c>
      <c r="E2" s="14">
        <v>1</v>
      </c>
      <c r="I2" t="s">
        <v>4</v>
      </c>
      <c r="J2">
        <f>SUM(J3:J4)</f>
        <v>4</v>
      </c>
      <c r="K2" t="s">
        <v>48</v>
      </c>
      <c r="L2">
        <f>(J3/J2)*100</f>
        <v>75</v>
      </c>
    </row>
    <row r="3" spans="1:12">
      <c r="A3" s="15">
        <v>37139960100</v>
      </c>
      <c r="B3" s="15" t="s">
        <v>0</v>
      </c>
      <c r="C3" s="15" t="s">
        <v>47</v>
      </c>
      <c r="D3" s="15">
        <v>1491</v>
      </c>
      <c r="E3" s="16">
        <v>1</v>
      </c>
      <c r="I3" t="s">
        <v>49</v>
      </c>
      <c r="J3">
        <f>COUNTIF(E2:E5,1)</f>
        <v>3</v>
      </c>
    </row>
    <row r="4" spans="1:12">
      <c r="A4" s="13">
        <v>37139960200</v>
      </c>
      <c r="B4" s="13" t="s">
        <v>0</v>
      </c>
      <c r="C4" s="13" t="s">
        <v>47</v>
      </c>
      <c r="D4" s="13">
        <v>4523</v>
      </c>
      <c r="E4" s="13">
        <v>0</v>
      </c>
      <c r="I4" t="s">
        <v>50</v>
      </c>
      <c r="J4">
        <f>COUNTIF(E2:E5,0)</f>
        <v>1</v>
      </c>
    </row>
    <row r="5" spans="1:12">
      <c r="A5" s="10">
        <v>37139960300</v>
      </c>
      <c r="B5" s="10" t="s">
        <v>0</v>
      </c>
      <c r="C5" s="10" t="s">
        <v>47</v>
      </c>
      <c r="D5" s="10">
        <v>2412</v>
      </c>
      <c r="E5" s="10">
        <v>1</v>
      </c>
      <c r="I5" t="s">
        <v>51</v>
      </c>
      <c r="J5" s="7">
        <f>SUM(D2:D5)</f>
        <v>14061</v>
      </c>
    </row>
    <row r="6" spans="1:12">
      <c r="I6" t="s">
        <v>52</v>
      </c>
      <c r="J6">
        <f>SUMIF(E2:E5,1,D2:D5)</f>
        <v>9538</v>
      </c>
    </row>
    <row r="7" spans="1:12">
      <c r="I7" t="s">
        <v>53</v>
      </c>
      <c r="J7">
        <f>SUMIF(E2:E5,0,D2:D5)</f>
        <v>4523</v>
      </c>
    </row>
    <row r="8" spans="1:12">
      <c r="I8" t="s">
        <v>54</v>
      </c>
      <c r="J8" s="8">
        <f>J6/J5</f>
        <v>0.67833013299196354</v>
      </c>
    </row>
    <row r="10" spans="1:12">
      <c r="I10" t="s">
        <v>55</v>
      </c>
      <c r="J10">
        <v>2.2462</v>
      </c>
    </row>
    <row r="12" spans="1:12">
      <c r="J12" s="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8B4F-102F-419B-88F5-A7F486A8C09B}">
  <sheetPr>
    <tabColor theme="5"/>
  </sheetPr>
  <dimension ref="A1:L13"/>
  <sheetViews>
    <sheetView workbookViewId="0">
      <selection activeCell="K27" sqref="K27"/>
    </sheetView>
  </sheetViews>
  <sheetFormatPr defaultRowHeight="15"/>
  <cols>
    <col min="1" max="1" width="12" bestFit="1" customWidth="1"/>
    <col min="3" max="3" width="18.28515625" bestFit="1" customWidth="1"/>
    <col min="5" max="5" width="8.140625" bestFit="1" customWidth="1"/>
    <col min="9" max="9" width="60.85546875" bestFit="1" customWidth="1"/>
    <col min="11" max="11" width="28.7109375" bestFit="1" customWidth="1"/>
  </cols>
  <sheetData>
    <row r="1" spans="1:12">
      <c r="A1" s="1" t="s">
        <v>42</v>
      </c>
      <c r="B1" s="1" t="s">
        <v>43</v>
      </c>
      <c r="C1" s="1" t="s">
        <v>44</v>
      </c>
      <c r="D1" s="1" t="s">
        <v>45</v>
      </c>
      <c r="E1" s="2" t="s">
        <v>46</v>
      </c>
    </row>
    <row r="2" spans="1:12">
      <c r="A2" s="3" t="s">
        <v>56</v>
      </c>
      <c r="B2" s="3" t="s">
        <v>0</v>
      </c>
      <c r="C2" s="3" t="s">
        <v>57</v>
      </c>
      <c r="D2" s="3">
        <v>5724</v>
      </c>
      <c r="E2" s="4">
        <v>0</v>
      </c>
      <c r="I2" t="s">
        <v>4</v>
      </c>
      <c r="J2">
        <f>SUM(J3:J4)</f>
        <v>11</v>
      </c>
      <c r="K2" t="s">
        <v>58</v>
      </c>
      <c r="L2">
        <f>(J3/J2)*100</f>
        <v>36.363636363636367</v>
      </c>
    </row>
    <row r="3" spans="1:12">
      <c r="A3" s="5" t="s">
        <v>59</v>
      </c>
      <c r="B3" s="5" t="s">
        <v>0</v>
      </c>
      <c r="C3" s="5" t="s">
        <v>57</v>
      </c>
      <c r="D3" s="5">
        <v>4827</v>
      </c>
      <c r="E3" s="6">
        <v>0</v>
      </c>
      <c r="I3" t="s">
        <v>49</v>
      </c>
      <c r="J3">
        <f>COUNTIF(Table2[SN_C],1)</f>
        <v>4</v>
      </c>
    </row>
    <row r="4" spans="1:12">
      <c r="A4" s="3" t="s">
        <v>60</v>
      </c>
      <c r="B4" s="3" t="s">
        <v>0</v>
      </c>
      <c r="C4" s="3" t="s">
        <v>47</v>
      </c>
      <c r="D4" s="3">
        <v>3459</v>
      </c>
      <c r="E4" s="4">
        <v>0</v>
      </c>
      <c r="I4" t="s">
        <v>50</v>
      </c>
      <c r="J4">
        <f>COUNTIF(Table2[SN_C],0)</f>
        <v>7</v>
      </c>
    </row>
    <row r="5" spans="1:12">
      <c r="A5" s="5" t="s">
        <v>61</v>
      </c>
      <c r="B5" s="5" t="s">
        <v>0</v>
      </c>
      <c r="C5" s="5" t="s">
        <v>47</v>
      </c>
      <c r="D5" s="5">
        <v>4871</v>
      </c>
      <c r="E5" s="6">
        <v>0</v>
      </c>
      <c r="I5" t="s">
        <v>62</v>
      </c>
      <c r="J5" s="7">
        <f>SUM(Table2[TPF])</f>
        <v>47123</v>
      </c>
    </row>
    <row r="6" spans="1:12">
      <c r="A6" s="3" t="s">
        <v>63</v>
      </c>
      <c r="B6" s="3" t="s">
        <v>0</v>
      </c>
      <c r="C6" s="3" t="s">
        <v>47</v>
      </c>
      <c r="D6" s="3">
        <v>5635</v>
      </c>
      <c r="E6" s="3">
        <v>1</v>
      </c>
      <c r="I6" t="s">
        <v>64</v>
      </c>
      <c r="J6">
        <f>SUMIF(Table2[SN_C],1,Table2[TPF])</f>
        <v>13718</v>
      </c>
    </row>
    <row r="7" spans="1:12">
      <c r="A7" s="5" t="s">
        <v>65</v>
      </c>
      <c r="B7" s="5" t="s">
        <v>0</v>
      </c>
      <c r="C7" s="5" t="s">
        <v>47</v>
      </c>
      <c r="D7" s="5">
        <v>3041</v>
      </c>
      <c r="E7" s="5">
        <v>0</v>
      </c>
      <c r="I7" t="s">
        <v>66</v>
      </c>
      <c r="J7">
        <f>SUMIF(Table2[SN_C],0,Table2[TPF])</f>
        <v>33405</v>
      </c>
    </row>
    <row r="8" spans="1:12">
      <c r="A8" s="3" t="s">
        <v>67</v>
      </c>
      <c r="B8" s="3" t="s">
        <v>0</v>
      </c>
      <c r="C8" s="3" t="s">
        <v>47</v>
      </c>
      <c r="D8" s="3">
        <v>4180</v>
      </c>
      <c r="E8" s="3">
        <v>1</v>
      </c>
      <c r="I8" t="s">
        <v>54</v>
      </c>
      <c r="J8" s="8">
        <f>J6/J5</f>
        <v>0.29111049805827305</v>
      </c>
    </row>
    <row r="9" spans="1:12">
      <c r="A9" s="5" t="s">
        <v>68</v>
      </c>
      <c r="B9" s="5" t="s">
        <v>0</v>
      </c>
      <c r="C9" s="5" t="s">
        <v>47</v>
      </c>
      <c r="D9" s="5">
        <v>1491</v>
      </c>
      <c r="E9" s="5">
        <v>1</v>
      </c>
    </row>
    <row r="10" spans="1:12">
      <c r="A10" s="3" t="s">
        <v>69</v>
      </c>
      <c r="B10" s="3" t="s">
        <v>0</v>
      </c>
      <c r="C10" s="3" t="s">
        <v>47</v>
      </c>
      <c r="D10" s="3">
        <v>4523</v>
      </c>
      <c r="E10" s="3">
        <v>0</v>
      </c>
      <c r="I10" t="s">
        <v>70</v>
      </c>
      <c r="J10">
        <v>60.433300000000003</v>
      </c>
    </row>
    <row r="11" spans="1:12">
      <c r="A11" s="5" t="s">
        <v>71</v>
      </c>
      <c r="B11" s="5" t="s">
        <v>0</v>
      </c>
      <c r="C11" s="5" t="s">
        <v>47</v>
      </c>
      <c r="D11" s="5">
        <v>2412</v>
      </c>
      <c r="E11" s="5">
        <v>1</v>
      </c>
      <c r="I11" t="s">
        <v>72</v>
      </c>
      <c r="J11">
        <v>16.213100000000001</v>
      </c>
    </row>
    <row r="12" spans="1:12">
      <c r="A12" s="9" t="s">
        <v>73</v>
      </c>
      <c r="B12" s="9" t="s">
        <v>0</v>
      </c>
      <c r="C12" s="9" t="s">
        <v>47</v>
      </c>
      <c r="D12" s="9">
        <v>6960</v>
      </c>
      <c r="E12" s="9">
        <v>0</v>
      </c>
      <c r="I12" t="s">
        <v>74</v>
      </c>
      <c r="J12" s="8">
        <f>J11/J10</f>
        <v>0.2682808981141192</v>
      </c>
      <c r="L12">
        <f>100-26.83</f>
        <v>73.17</v>
      </c>
    </row>
    <row r="13" spans="1:12">
      <c r="D13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13B1-850E-4BD3-ADB7-40C81219B6DB}">
  <sheetPr>
    <tabColor theme="7"/>
  </sheetPr>
  <dimension ref="A1:N7"/>
  <sheetViews>
    <sheetView zoomScale="145" zoomScaleNormal="145" workbookViewId="0">
      <selection activeCell="H7" sqref="H7"/>
    </sheetView>
  </sheetViews>
  <sheetFormatPr defaultRowHeight="15"/>
  <cols>
    <col min="1" max="1" width="13.5703125" bestFit="1" customWidth="1"/>
    <col min="3" max="3" width="47.140625" customWidth="1"/>
    <col min="7" max="7" width="17.7109375" customWidth="1"/>
    <col min="8" max="8" width="22.42578125" customWidth="1"/>
    <col min="9" max="9" width="19.28515625" customWidth="1"/>
  </cols>
  <sheetData>
    <row r="1" spans="1:14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</row>
    <row r="2" spans="1:14">
      <c r="A2">
        <v>38096</v>
      </c>
      <c r="B2" t="s">
        <v>89</v>
      </c>
      <c r="C2">
        <v>37139960100</v>
      </c>
      <c r="D2">
        <v>37</v>
      </c>
      <c r="E2">
        <v>139</v>
      </c>
      <c r="F2">
        <v>960100</v>
      </c>
      <c r="G2">
        <v>880</v>
      </c>
      <c r="H2">
        <v>1480</v>
      </c>
      <c r="I2">
        <v>59.46</v>
      </c>
      <c r="J2" t="s">
        <v>90</v>
      </c>
      <c r="K2" t="s">
        <v>90</v>
      </c>
      <c r="L2" t="s">
        <v>90</v>
      </c>
      <c r="M2">
        <v>7.9556000000000002E-2</v>
      </c>
      <c r="N2">
        <v>1.7200000000000001E-4</v>
      </c>
    </row>
    <row r="3" spans="1:14">
      <c r="A3">
        <v>38214</v>
      </c>
      <c r="B3" t="s">
        <v>89</v>
      </c>
      <c r="C3">
        <v>37139960200</v>
      </c>
      <c r="D3">
        <v>37</v>
      </c>
      <c r="E3">
        <v>139</v>
      </c>
      <c r="F3">
        <v>960200</v>
      </c>
      <c r="G3">
        <v>1735</v>
      </c>
      <c r="H3">
        <v>3500</v>
      </c>
      <c r="I3">
        <v>49.57</v>
      </c>
      <c r="J3" t="s">
        <v>90</v>
      </c>
      <c r="K3" t="s">
        <v>90</v>
      </c>
      <c r="L3" t="s">
        <v>90</v>
      </c>
      <c r="M3">
        <v>9.4541E-2</v>
      </c>
      <c r="N3">
        <v>4.2900000000000002E-4</v>
      </c>
    </row>
    <row r="4" spans="1:14">
      <c r="A4">
        <v>38746</v>
      </c>
      <c r="B4" t="s">
        <v>89</v>
      </c>
      <c r="C4">
        <v>37139960701</v>
      </c>
      <c r="D4">
        <v>37</v>
      </c>
      <c r="E4">
        <v>139</v>
      </c>
      <c r="F4">
        <v>960701</v>
      </c>
      <c r="G4">
        <v>1875</v>
      </c>
      <c r="H4">
        <v>6240</v>
      </c>
      <c r="I4">
        <v>30.05</v>
      </c>
      <c r="J4" t="s">
        <v>90</v>
      </c>
      <c r="K4" t="s">
        <v>90</v>
      </c>
      <c r="L4" t="s">
        <v>90</v>
      </c>
      <c r="M4">
        <v>0.44538800000000001</v>
      </c>
      <c r="N4">
        <v>6.0340000000000003E-3</v>
      </c>
    </row>
    <row r="5" spans="1:14">
      <c r="A5">
        <v>38781</v>
      </c>
      <c r="B5" t="s">
        <v>89</v>
      </c>
      <c r="C5">
        <v>37139960300</v>
      </c>
      <c r="D5">
        <v>37</v>
      </c>
      <c r="E5">
        <v>139</v>
      </c>
      <c r="F5">
        <v>960300</v>
      </c>
      <c r="G5">
        <v>2190</v>
      </c>
      <c r="H5">
        <v>2585</v>
      </c>
      <c r="I5">
        <v>84.72</v>
      </c>
      <c r="J5" t="s">
        <v>90</v>
      </c>
      <c r="K5" t="s">
        <v>90</v>
      </c>
      <c r="L5" t="s">
        <v>90</v>
      </c>
      <c r="M5">
        <v>6.9029999999999994E-2</v>
      </c>
      <c r="N5">
        <v>2.52E-4</v>
      </c>
    </row>
    <row r="6" spans="1:14">
      <c r="G6">
        <f>SUM(Table1[LOWMOD])</f>
        <v>6680</v>
      </c>
      <c r="H6">
        <f>SUM(Table1[LOWMODUNIV])</f>
        <v>13805</v>
      </c>
    </row>
    <row r="7" spans="1:14">
      <c r="H7">
        <f>G6/H6</f>
        <v>0.48388265121332852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1351-CCE9-40D1-9900-61A83A9C8776}">
  <sheetPr>
    <tabColor theme="7"/>
  </sheetPr>
  <dimension ref="A1:N12"/>
  <sheetViews>
    <sheetView workbookViewId="0">
      <selection activeCell="G3" sqref="G3"/>
    </sheetView>
  </sheetViews>
  <sheetFormatPr defaultRowHeight="15"/>
  <cols>
    <col min="1" max="1" width="13.5703125" bestFit="1" customWidth="1"/>
    <col min="3" max="3" width="12" bestFit="1" customWidth="1"/>
  </cols>
  <sheetData>
    <row r="1" spans="1:14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</row>
    <row r="2" spans="1:14">
      <c r="A2">
        <v>38095</v>
      </c>
      <c r="B2" t="s">
        <v>89</v>
      </c>
      <c r="C2">
        <v>37139960600</v>
      </c>
      <c r="D2">
        <v>37</v>
      </c>
      <c r="E2">
        <v>139</v>
      </c>
      <c r="F2">
        <v>960600</v>
      </c>
      <c r="G2">
        <v>1825</v>
      </c>
      <c r="H2">
        <v>6305</v>
      </c>
      <c r="I2">
        <v>28.95</v>
      </c>
      <c r="J2" t="s">
        <v>90</v>
      </c>
      <c r="K2" t="s">
        <v>90</v>
      </c>
      <c r="L2" t="s">
        <v>90</v>
      </c>
      <c r="M2">
        <v>0.47226800000000002</v>
      </c>
      <c r="N2">
        <v>8.8170000000000002E-3</v>
      </c>
    </row>
    <row r="3" spans="1:14">
      <c r="A3">
        <v>38096</v>
      </c>
      <c r="B3" t="s">
        <v>89</v>
      </c>
      <c r="C3">
        <v>37139960100</v>
      </c>
      <c r="D3">
        <v>37</v>
      </c>
      <c r="E3">
        <v>139</v>
      </c>
      <c r="F3">
        <v>960100</v>
      </c>
      <c r="G3">
        <v>880</v>
      </c>
      <c r="H3">
        <v>1480</v>
      </c>
      <c r="I3">
        <v>59.46</v>
      </c>
      <c r="J3" t="s">
        <v>90</v>
      </c>
      <c r="K3" t="s">
        <v>90</v>
      </c>
      <c r="L3" t="s">
        <v>90</v>
      </c>
      <c r="M3">
        <v>7.9556000000000002E-2</v>
      </c>
      <c r="N3">
        <v>1.7200000000000001E-4</v>
      </c>
    </row>
    <row r="4" spans="1:14">
      <c r="A4">
        <v>38214</v>
      </c>
      <c r="B4" t="s">
        <v>89</v>
      </c>
      <c r="C4">
        <v>37139960200</v>
      </c>
      <c r="D4">
        <v>37</v>
      </c>
      <c r="E4">
        <v>139</v>
      </c>
      <c r="F4">
        <v>960200</v>
      </c>
      <c r="G4">
        <v>1735</v>
      </c>
      <c r="H4">
        <v>3500</v>
      </c>
      <c r="I4">
        <v>49.57</v>
      </c>
      <c r="J4" t="s">
        <v>90</v>
      </c>
      <c r="K4" t="s">
        <v>90</v>
      </c>
      <c r="L4" t="s">
        <v>90</v>
      </c>
      <c r="M4">
        <v>9.4541E-2</v>
      </c>
      <c r="N4">
        <v>4.2900000000000002E-4</v>
      </c>
    </row>
    <row r="5" spans="1:14">
      <c r="A5">
        <v>38746</v>
      </c>
      <c r="B5" t="s">
        <v>89</v>
      </c>
      <c r="C5">
        <v>37139960701</v>
      </c>
      <c r="D5">
        <v>37</v>
      </c>
      <c r="E5">
        <v>139</v>
      </c>
      <c r="F5">
        <v>960701</v>
      </c>
      <c r="G5">
        <v>1875</v>
      </c>
      <c r="H5">
        <v>6240</v>
      </c>
      <c r="I5">
        <v>30.05</v>
      </c>
      <c r="J5" t="s">
        <v>90</v>
      </c>
      <c r="K5" t="s">
        <v>90</v>
      </c>
      <c r="L5" t="s">
        <v>90</v>
      </c>
      <c r="M5">
        <v>0.44538800000000001</v>
      </c>
      <c r="N5">
        <v>6.0340000000000003E-3</v>
      </c>
    </row>
    <row r="6" spans="1:14">
      <c r="A6">
        <v>38747</v>
      </c>
      <c r="B6" t="s">
        <v>89</v>
      </c>
      <c r="C6">
        <v>37139960702</v>
      </c>
      <c r="D6">
        <v>37</v>
      </c>
      <c r="E6">
        <v>139</v>
      </c>
      <c r="F6">
        <v>960702</v>
      </c>
      <c r="G6">
        <v>770</v>
      </c>
      <c r="H6">
        <v>2950</v>
      </c>
      <c r="I6">
        <v>26.1</v>
      </c>
      <c r="J6" t="s">
        <v>90</v>
      </c>
      <c r="K6" t="s">
        <v>90</v>
      </c>
      <c r="L6" t="s">
        <v>90</v>
      </c>
      <c r="M6">
        <v>0.69783700000000004</v>
      </c>
      <c r="N6">
        <v>1.4615E-2</v>
      </c>
    </row>
    <row r="7" spans="1:14">
      <c r="A7">
        <v>38748</v>
      </c>
      <c r="B7" t="s">
        <v>89</v>
      </c>
      <c r="C7">
        <v>37139960501</v>
      </c>
      <c r="D7">
        <v>37</v>
      </c>
      <c r="E7">
        <v>139</v>
      </c>
      <c r="F7">
        <v>960501</v>
      </c>
      <c r="G7">
        <v>1170</v>
      </c>
      <c r="H7">
        <v>3270</v>
      </c>
      <c r="I7">
        <v>35.78</v>
      </c>
      <c r="J7" t="s">
        <v>90</v>
      </c>
      <c r="K7" t="s">
        <v>90</v>
      </c>
      <c r="L7" t="s">
        <v>90</v>
      </c>
      <c r="M7">
        <v>0.52174399999999999</v>
      </c>
      <c r="N7">
        <v>3.9179999999999996E-3</v>
      </c>
    </row>
    <row r="8" spans="1:14">
      <c r="A8">
        <v>38781</v>
      </c>
      <c r="B8" t="s">
        <v>89</v>
      </c>
      <c r="C8">
        <v>37139960300</v>
      </c>
      <c r="D8">
        <v>37</v>
      </c>
      <c r="E8">
        <v>139</v>
      </c>
      <c r="F8">
        <v>960300</v>
      </c>
      <c r="G8">
        <v>2190</v>
      </c>
      <c r="H8">
        <v>2585</v>
      </c>
      <c r="I8">
        <v>84.72</v>
      </c>
      <c r="J8" t="s">
        <v>90</v>
      </c>
      <c r="K8" t="s">
        <v>90</v>
      </c>
      <c r="L8" t="s">
        <v>90</v>
      </c>
      <c r="M8">
        <v>6.9029999999999994E-2</v>
      </c>
      <c r="N8">
        <v>2.52E-4</v>
      </c>
    </row>
    <row r="9" spans="1:14">
      <c r="A9">
        <v>38800</v>
      </c>
      <c r="B9" t="s">
        <v>89</v>
      </c>
      <c r="C9">
        <v>37139960400</v>
      </c>
      <c r="D9">
        <v>37</v>
      </c>
      <c r="E9">
        <v>139</v>
      </c>
      <c r="F9">
        <v>960400</v>
      </c>
      <c r="G9">
        <v>2670</v>
      </c>
      <c r="H9">
        <v>4855</v>
      </c>
      <c r="I9">
        <v>54.99</v>
      </c>
      <c r="J9" t="s">
        <v>90</v>
      </c>
      <c r="K9" t="s">
        <v>90</v>
      </c>
      <c r="L9" t="s">
        <v>90</v>
      </c>
      <c r="M9">
        <v>0.14857300000000001</v>
      </c>
      <c r="N9">
        <v>6.9999999999999999E-4</v>
      </c>
    </row>
    <row r="10" spans="1:14">
      <c r="A10">
        <v>38870</v>
      </c>
      <c r="B10" t="s">
        <v>89</v>
      </c>
      <c r="C10">
        <v>37139960502</v>
      </c>
      <c r="D10">
        <v>37</v>
      </c>
      <c r="E10">
        <v>139</v>
      </c>
      <c r="F10">
        <v>960502</v>
      </c>
      <c r="G10">
        <v>1115</v>
      </c>
      <c r="H10">
        <v>3775</v>
      </c>
      <c r="I10">
        <v>29.54</v>
      </c>
      <c r="J10" t="s">
        <v>90</v>
      </c>
      <c r="K10" t="s">
        <v>90</v>
      </c>
      <c r="L10" t="s">
        <v>90</v>
      </c>
      <c r="M10">
        <v>0.30642399999999997</v>
      </c>
      <c r="N10">
        <v>3.6700000000000001E-3</v>
      </c>
    </row>
    <row r="11" spans="1:14">
      <c r="A11">
        <v>39050</v>
      </c>
      <c r="B11" t="s">
        <v>89</v>
      </c>
      <c r="C11">
        <v>37029950102</v>
      </c>
      <c r="D11">
        <v>37</v>
      </c>
      <c r="E11">
        <v>29</v>
      </c>
      <c r="F11">
        <v>950102</v>
      </c>
      <c r="G11">
        <v>1490</v>
      </c>
      <c r="H11">
        <v>4560</v>
      </c>
      <c r="I11">
        <v>32.68</v>
      </c>
      <c r="J11" t="s">
        <v>90</v>
      </c>
      <c r="K11" t="s">
        <v>90</v>
      </c>
      <c r="L11" t="s">
        <v>90</v>
      </c>
      <c r="M11">
        <v>1.3589770000000001</v>
      </c>
      <c r="N11">
        <v>2.3403E-2</v>
      </c>
    </row>
    <row r="12" spans="1:14">
      <c r="A12">
        <v>39051</v>
      </c>
      <c r="B12" t="s">
        <v>89</v>
      </c>
      <c r="C12">
        <v>37029950101</v>
      </c>
      <c r="D12">
        <v>37</v>
      </c>
      <c r="E12">
        <v>29</v>
      </c>
      <c r="F12">
        <v>950101</v>
      </c>
      <c r="G12">
        <v>1415</v>
      </c>
      <c r="H12">
        <v>5140</v>
      </c>
      <c r="I12">
        <v>27.53</v>
      </c>
      <c r="J12" t="s">
        <v>90</v>
      </c>
      <c r="K12" t="s">
        <v>90</v>
      </c>
      <c r="L12" t="s">
        <v>90</v>
      </c>
      <c r="M12">
        <v>1.227036</v>
      </c>
      <c r="N12">
        <v>3.9393999999999998E-2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3C3C-13A1-4920-8BC9-9D47B7A5876D}">
  <sheetPr>
    <tabColor theme="8"/>
  </sheetPr>
  <dimension ref="A1:P13"/>
  <sheetViews>
    <sheetView workbookViewId="0">
      <selection activeCell="F13" sqref="F13"/>
    </sheetView>
  </sheetViews>
  <sheetFormatPr defaultRowHeight="15"/>
  <cols>
    <col min="1" max="1" width="13.140625" bestFit="1" customWidth="1"/>
    <col min="2" max="2" width="12.7109375" customWidth="1"/>
    <col min="3" max="3" width="9.5703125" bestFit="1" customWidth="1"/>
    <col min="4" max="4" width="11.28515625" bestFit="1" customWidth="1"/>
    <col min="5" max="5" width="10.28515625" bestFit="1" customWidth="1"/>
    <col min="6" max="6" width="10.140625" bestFit="1" customWidth="1"/>
    <col min="7" max="7" width="11.5703125" bestFit="1" customWidth="1"/>
    <col min="8" max="8" width="13" bestFit="1" customWidth="1"/>
    <col min="9" max="9" width="7.7109375" bestFit="1" customWidth="1"/>
    <col min="16" max="16" width="14.28515625" bestFit="1" customWidth="1"/>
  </cols>
  <sheetData>
    <row r="1" spans="1:16">
      <c r="A1" s="23" t="s">
        <v>77</v>
      </c>
      <c r="B1" s="24" t="s">
        <v>43</v>
      </c>
      <c r="C1" s="25" t="s">
        <v>91</v>
      </c>
      <c r="D1" s="25" t="s">
        <v>92</v>
      </c>
      <c r="E1" s="25" t="s">
        <v>93</v>
      </c>
      <c r="F1" s="25" t="s">
        <v>94</v>
      </c>
      <c r="G1" s="25" t="s">
        <v>95</v>
      </c>
      <c r="H1" s="25" t="s">
        <v>96</v>
      </c>
      <c r="I1" s="25" t="s">
        <v>97</v>
      </c>
      <c r="J1" s="21" t="s">
        <v>98</v>
      </c>
      <c r="K1" s="21" t="s">
        <v>99</v>
      </c>
      <c r="L1" s="21" t="s">
        <v>100</v>
      </c>
      <c r="M1" s="21" t="s">
        <v>101</v>
      </c>
      <c r="N1" s="21" t="s">
        <v>102</v>
      </c>
      <c r="O1" s="21" t="s">
        <v>103</v>
      </c>
      <c r="P1" s="22" t="s">
        <v>104</v>
      </c>
    </row>
    <row r="2" spans="1:16">
      <c r="A2" s="26">
        <v>371399602003</v>
      </c>
      <c r="B2" s="3" t="s">
        <v>0</v>
      </c>
      <c r="C2" s="27">
        <v>0.16087000000000001</v>
      </c>
      <c r="D2" s="27">
        <v>0.56304299999999996</v>
      </c>
      <c r="E2" s="27">
        <v>0.243478</v>
      </c>
      <c r="F2" s="27">
        <v>0.64347799999999999</v>
      </c>
      <c r="G2" s="27">
        <v>0.117021</v>
      </c>
      <c r="H2" s="27">
        <v>0.30835699999999999</v>
      </c>
      <c r="I2" s="27">
        <v>0</v>
      </c>
      <c r="J2" s="13">
        <v>16</v>
      </c>
      <c r="K2" s="13">
        <v>16</v>
      </c>
      <c r="L2" s="13">
        <v>16</v>
      </c>
      <c r="M2" s="13">
        <v>15</v>
      </c>
      <c r="N2" s="13">
        <v>139</v>
      </c>
      <c r="O2" s="13">
        <v>1</v>
      </c>
      <c r="P2" s="14" t="s">
        <v>105</v>
      </c>
    </row>
    <row r="3" spans="1:16">
      <c r="A3" s="28">
        <v>371399602004</v>
      </c>
      <c r="B3" s="5" t="s">
        <v>0</v>
      </c>
      <c r="C3" s="29">
        <v>0.18141099999999999</v>
      </c>
      <c r="D3" s="29">
        <v>9.2132000000000006E-2</v>
      </c>
      <c r="E3" s="29">
        <v>4.8104000000000001E-2</v>
      </c>
      <c r="F3" s="29">
        <v>0.66734599999999999</v>
      </c>
      <c r="G3" s="29">
        <v>1.1561E-2</v>
      </c>
      <c r="H3" s="29">
        <v>9.0343000000000007E-2</v>
      </c>
      <c r="I3" s="29">
        <v>3.8830000000000002E-3</v>
      </c>
      <c r="J3" s="15">
        <v>12.5</v>
      </c>
      <c r="K3" s="15">
        <v>12.5</v>
      </c>
      <c r="L3" s="15">
        <v>12.5</v>
      </c>
      <c r="M3" s="15">
        <v>12.5</v>
      </c>
      <c r="N3" s="15">
        <v>139</v>
      </c>
      <c r="O3" s="15">
        <v>1</v>
      </c>
      <c r="P3" s="16" t="s">
        <v>105</v>
      </c>
    </row>
    <row r="4" spans="1:16">
      <c r="A4" s="3">
        <v>371399602002</v>
      </c>
      <c r="B4" s="3" t="s">
        <v>0</v>
      </c>
      <c r="C4" s="27">
        <v>4.1409999999999997E-3</v>
      </c>
      <c r="D4" s="27">
        <v>0.26294000000000001</v>
      </c>
      <c r="E4" s="27">
        <v>0.24637700000000001</v>
      </c>
      <c r="F4" s="27">
        <v>0.92132499999999995</v>
      </c>
      <c r="G4" s="27">
        <v>0.140704</v>
      </c>
      <c r="H4" s="27">
        <v>0.23844299999999999</v>
      </c>
      <c r="I4" s="27">
        <v>0</v>
      </c>
      <c r="J4" s="13">
        <v>12.5</v>
      </c>
      <c r="K4" s="13">
        <v>12.5</v>
      </c>
      <c r="L4" s="13">
        <v>12.5</v>
      </c>
      <c r="M4" s="13">
        <v>12</v>
      </c>
      <c r="N4" s="13">
        <v>139</v>
      </c>
      <c r="O4" s="13">
        <v>1</v>
      </c>
      <c r="P4" s="13" t="s">
        <v>105</v>
      </c>
    </row>
    <row r="5" spans="1:16">
      <c r="A5" s="5">
        <v>371399602001</v>
      </c>
      <c r="B5" s="5" t="s">
        <v>0</v>
      </c>
      <c r="C5" s="29">
        <v>0.240427</v>
      </c>
      <c r="D5" s="29">
        <v>0.20569899999999999</v>
      </c>
      <c r="E5" s="29">
        <v>0.16028500000000001</v>
      </c>
      <c r="F5" s="29">
        <v>0.35618899999999998</v>
      </c>
      <c r="G5" s="29">
        <v>2.2221999999999999E-2</v>
      </c>
      <c r="H5" s="29">
        <v>0.17746100000000001</v>
      </c>
      <c r="I5" s="29">
        <v>0</v>
      </c>
      <c r="J5" s="15">
        <v>12.5</v>
      </c>
      <c r="K5" s="15">
        <v>11.5</v>
      </c>
      <c r="L5" s="15">
        <v>12.5</v>
      </c>
      <c r="M5" s="15">
        <v>11.5</v>
      </c>
      <c r="N5" s="15">
        <v>139</v>
      </c>
      <c r="O5" s="15">
        <v>1</v>
      </c>
      <c r="P5" s="15" t="s">
        <v>105</v>
      </c>
    </row>
    <row r="6" spans="1:16">
      <c r="A6" s="3">
        <v>371399607011</v>
      </c>
      <c r="B6" s="3" t="s">
        <v>0</v>
      </c>
      <c r="C6" s="27">
        <v>0.353821</v>
      </c>
      <c r="D6" s="27">
        <v>0.34047699999999997</v>
      </c>
      <c r="E6" s="27">
        <v>6.9147E-2</v>
      </c>
      <c r="F6" s="27">
        <v>0.601294</v>
      </c>
      <c r="G6" s="27">
        <v>0</v>
      </c>
      <c r="H6" s="27">
        <v>5.3978999999999999E-2</v>
      </c>
      <c r="I6" s="27">
        <v>0</v>
      </c>
      <c r="J6" s="13">
        <v>11.5</v>
      </c>
      <c r="K6" s="13">
        <v>13</v>
      </c>
      <c r="L6" s="13">
        <v>13</v>
      </c>
      <c r="M6" s="13">
        <v>13</v>
      </c>
      <c r="N6" s="13">
        <v>139</v>
      </c>
      <c r="O6" s="13">
        <v>1</v>
      </c>
      <c r="P6" s="13" t="s">
        <v>105</v>
      </c>
    </row>
    <row r="7" spans="1:16">
      <c r="A7" s="5">
        <v>371399603002</v>
      </c>
      <c r="B7" s="5" t="s">
        <v>0</v>
      </c>
      <c r="C7" s="29">
        <v>0.47185300000000002</v>
      </c>
      <c r="D7" s="29">
        <v>0.83934200000000003</v>
      </c>
      <c r="E7" s="29">
        <v>7.5269000000000003E-2</v>
      </c>
      <c r="F7" s="29">
        <v>0.84313700000000003</v>
      </c>
      <c r="G7" s="29">
        <v>0.23973700000000001</v>
      </c>
      <c r="H7" s="29">
        <v>0.34313700000000003</v>
      </c>
      <c r="I7" s="29">
        <v>5.0735000000000002E-2</v>
      </c>
      <c r="J7" s="15">
        <v>18.5</v>
      </c>
      <c r="K7" s="15">
        <v>20</v>
      </c>
      <c r="L7" s="15">
        <v>20</v>
      </c>
      <c r="M7" s="15">
        <v>20</v>
      </c>
      <c r="N7" s="15">
        <v>139</v>
      </c>
      <c r="O7" s="15">
        <v>1</v>
      </c>
      <c r="P7" s="15" t="s">
        <v>105</v>
      </c>
    </row>
    <row r="8" spans="1:16">
      <c r="A8" s="3">
        <v>371399607013</v>
      </c>
      <c r="B8" s="3" t="s">
        <v>0</v>
      </c>
      <c r="C8" s="27">
        <v>0.156359</v>
      </c>
      <c r="D8" s="27">
        <v>1.2834999999999999E-2</v>
      </c>
      <c r="E8" s="27">
        <v>0.18203</v>
      </c>
      <c r="F8" s="27">
        <v>0.36289399999999999</v>
      </c>
      <c r="G8" s="27">
        <v>0</v>
      </c>
      <c r="H8" s="27">
        <v>7.7507999999999994E-2</v>
      </c>
      <c r="I8" s="27">
        <v>0</v>
      </c>
      <c r="J8" s="13">
        <v>8.5</v>
      </c>
      <c r="K8" s="13">
        <v>9.5</v>
      </c>
      <c r="L8" s="13">
        <v>9.5</v>
      </c>
      <c r="M8" s="13">
        <v>8.5</v>
      </c>
      <c r="N8" s="13">
        <v>139</v>
      </c>
      <c r="O8" s="13">
        <v>1</v>
      </c>
      <c r="P8" s="13" t="s">
        <v>105</v>
      </c>
    </row>
    <row r="9" spans="1:16">
      <c r="A9" s="5">
        <v>371399601002</v>
      </c>
      <c r="B9" s="5" t="s">
        <v>0</v>
      </c>
      <c r="C9" s="29">
        <v>6.5764000000000003E-2</v>
      </c>
      <c r="D9" s="29">
        <v>0.47775600000000001</v>
      </c>
      <c r="E9" s="29">
        <v>0.48355900000000002</v>
      </c>
      <c r="F9" s="29">
        <v>0.59574499999999997</v>
      </c>
      <c r="G9" s="29">
        <v>0.282609</v>
      </c>
      <c r="H9" s="29">
        <v>0.29535899999999998</v>
      </c>
      <c r="I9" s="29">
        <v>1.3807E-2</v>
      </c>
      <c r="J9" s="15">
        <v>14.5</v>
      </c>
      <c r="K9" s="15">
        <v>14.5</v>
      </c>
      <c r="L9" s="15">
        <v>15.5</v>
      </c>
      <c r="M9" s="15">
        <v>15.5</v>
      </c>
      <c r="N9" s="15">
        <v>139</v>
      </c>
      <c r="O9" s="15">
        <v>1</v>
      </c>
      <c r="P9" s="15" t="s">
        <v>105</v>
      </c>
    </row>
    <row r="12" spans="1:16">
      <c r="B12" s="24" t="s">
        <v>106</v>
      </c>
      <c r="C12" s="27">
        <f>AVERAGE(C2:C9)</f>
        <v>0.20433074999999998</v>
      </c>
      <c r="D12" s="58">
        <f t="shared" ref="D12:I12" si="0">AVERAGE(D2:D9)</f>
        <v>0.34927799999999998</v>
      </c>
      <c r="E12" s="27">
        <f t="shared" si="0"/>
        <v>0.18853112500000002</v>
      </c>
      <c r="F12" s="58">
        <f t="shared" si="0"/>
        <v>0.62392599999999998</v>
      </c>
      <c r="G12" s="58">
        <f t="shared" si="0"/>
        <v>0.10173175000000001</v>
      </c>
      <c r="H12" s="58">
        <f t="shared" si="0"/>
        <v>0.198073375</v>
      </c>
      <c r="I12" s="27">
        <f t="shared" si="0"/>
        <v>8.553125E-3</v>
      </c>
    </row>
    <row r="13" spans="1:16">
      <c r="B13" s="24" t="s">
        <v>107</v>
      </c>
      <c r="C13" s="29">
        <v>0.2</v>
      </c>
      <c r="D13" s="29">
        <v>0.23</v>
      </c>
      <c r="E13" s="29">
        <v>0.16</v>
      </c>
      <c r="F13" s="29">
        <v>0.37</v>
      </c>
      <c r="G13" s="29">
        <v>0.06</v>
      </c>
      <c r="H13" s="29">
        <v>0.16</v>
      </c>
      <c r="I13" s="29">
        <v>0.04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C949-4F74-4098-BAFC-FFCAB54F263A}">
  <sheetPr>
    <tabColor theme="9"/>
  </sheetPr>
  <dimension ref="A1:J11"/>
  <sheetViews>
    <sheetView workbookViewId="0">
      <selection activeCell="G17" sqref="G17"/>
    </sheetView>
  </sheetViews>
  <sheetFormatPr defaultRowHeight="15"/>
  <cols>
    <col min="3" max="3" width="12" bestFit="1" customWidth="1"/>
    <col min="4" max="4" width="16.85546875" customWidth="1"/>
    <col min="5" max="5" width="15.5703125" customWidth="1"/>
    <col min="9" max="9" width="23.7109375" customWidth="1"/>
  </cols>
  <sheetData>
    <row r="1" spans="1:10">
      <c r="A1" t="s">
        <v>75</v>
      </c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25</v>
      </c>
      <c r="H1" t="s">
        <v>113</v>
      </c>
      <c r="I1" t="s">
        <v>114</v>
      </c>
      <c r="J1" t="s">
        <v>115</v>
      </c>
    </row>
    <row r="2" spans="1:10">
      <c r="A2">
        <v>228</v>
      </c>
      <c r="B2" t="s">
        <v>89</v>
      </c>
      <c r="C2">
        <v>37139960100</v>
      </c>
      <c r="D2">
        <v>369</v>
      </c>
      <c r="F2">
        <v>358</v>
      </c>
      <c r="G2">
        <f>F2/D2</f>
        <v>0.97018970189701892</v>
      </c>
      <c r="H2">
        <f>(F2+E2)/D2</f>
        <v>0.97018970189701892</v>
      </c>
      <c r="I2">
        <v>27543.666026999999</v>
      </c>
      <c r="J2">
        <v>18572497.434818</v>
      </c>
    </row>
    <row r="3" spans="1:10">
      <c r="A3">
        <v>229</v>
      </c>
      <c r="B3" t="s">
        <v>89</v>
      </c>
      <c r="C3">
        <v>37139960200</v>
      </c>
      <c r="D3">
        <v>1162</v>
      </c>
      <c r="E3">
        <v>502</v>
      </c>
      <c r="F3">
        <v>792</v>
      </c>
      <c r="G3">
        <f>F3/D3</f>
        <v>0.68158347676419961</v>
      </c>
      <c r="H3">
        <f>(F3+E3)/D3</f>
        <v>1.1135972461273667</v>
      </c>
      <c r="I3">
        <v>34966.021655999997</v>
      </c>
      <c r="J3">
        <v>45922890.080683</v>
      </c>
    </row>
    <row r="4" spans="1:10">
      <c r="A4">
        <v>230</v>
      </c>
      <c r="B4" t="s">
        <v>89</v>
      </c>
      <c r="C4">
        <v>37139960300</v>
      </c>
      <c r="D4">
        <v>349</v>
      </c>
      <c r="F4">
        <v>767</v>
      </c>
      <c r="G4">
        <f>F4/D4</f>
        <v>2.1977077363896846</v>
      </c>
      <c r="H4">
        <f>(F4+E4)/D4</f>
        <v>2.1977077363896846</v>
      </c>
      <c r="I4">
        <v>21838.020048999999</v>
      </c>
      <c r="J4">
        <v>27076707.636564001</v>
      </c>
    </row>
    <row r="5" spans="1:10">
      <c r="A5">
        <v>235</v>
      </c>
      <c r="B5" t="s">
        <v>89</v>
      </c>
      <c r="C5">
        <v>37139960701</v>
      </c>
      <c r="D5">
        <v>1744</v>
      </c>
      <c r="F5">
        <v>59</v>
      </c>
      <c r="G5">
        <f>F5/D5</f>
        <v>3.3830275229357797E-2</v>
      </c>
      <c r="H5">
        <f>(F5+E5)/D5</f>
        <v>3.3830275229357797E-2</v>
      </c>
      <c r="I5">
        <v>146588.83796100001</v>
      </c>
      <c r="J5">
        <v>647845209.52558506</v>
      </c>
    </row>
    <row r="6" spans="1:10">
      <c r="D6">
        <f>SUM(Table16[[Detached 1 units ]])</f>
        <v>3624</v>
      </c>
      <c r="F6">
        <f>SUM(Table16[[Multifamily units ]])</f>
        <v>1976</v>
      </c>
    </row>
    <row r="7" spans="1:10">
      <c r="E7" t="s">
        <v>116</v>
      </c>
      <c r="F7">
        <f>SUM(F2:F5,E3)</f>
        <v>2478</v>
      </c>
    </row>
    <row r="8" spans="1:10" ht="15.75" thickBot="1"/>
    <row r="9" spans="1:10" ht="26.25" customHeight="1">
      <c r="D9" s="37" t="s">
        <v>117</v>
      </c>
      <c r="E9" s="38" t="s">
        <v>118</v>
      </c>
      <c r="F9" s="39">
        <f>F6/D6</f>
        <v>0.54525386313465785</v>
      </c>
      <c r="I9" s="43" t="s">
        <v>119</v>
      </c>
      <c r="J9" s="44"/>
    </row>
    <row r="10" spans="1:10" ht="30.75" thickBot="1">
      <c r="D10" s="40"/>
      <c r="E10" s="41" t="s">
        <v>120</v>
      </c>
      <c r="F10" s="42">
        <f>F7/D6</f>
        <v>0.68377483443708609</v>
      </c>
      <c r="I10" s="45" t="s">
        <v>121</v>
      </c>
      <c r="J10" s="46">
        <f>AVERAGE(Table16[Housing Ratio])</f>
        <v>0.97082779757006532</v>
      </c>
    </row>
    <row r="11" spans="1:10" ht="15.75" thickBot="1">
      <c r="I11" s="47" t="s">
        <v>122</v>
      </c>
      <c r="J11" s="48">
        <f>AVERAGE(Table16[Housing Ratio with Dorms])</f>
        <v>1.0788312399108571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3D1B-7D4A-4DA7-A62B-2CFFCB241B40}">
  <sheetPr>
    <tabColor rgb="FFFFFF00"/>
  </sheetPr>
  <dimension ref="A1:G9"/>
  <sheetViews>
    <sheetView workbookViewId="0">
      <selection activeCell="A9" sqref="A9:G9"/>
    </sheetView>
  </sheetViews>
  <sheetFormatPr defaultRowHeight="15"/>
  <cols>
    <col min="1" max="1" width="24.140625" customWidth="1"/>
    <col min="2" max="2" width="24.28515625" customWidth="1"/>
    <col min="3" max="3" width="25.7109375" customWidth="1"/>
    <col min="4" max="4" width="19.5703125" customWidth="1"/>
    <col min="5" max="5" width="21.85546875" customWidth="1"/>
    <col min="6" max="6" width="17.28515625" customWidth="1"/>
  </cols>
  <sheetData>
    <row r="1" spans="1:7" ht="15.75" thickBot="1">
      <c r="A1" s="75" t="s">
        <v>123</v>
      </c>
      <c r="B1" s="77" t="s">
        <v>124</v>
      </c>
      <c r="C1" s="78"/>
      <c r="D1" s="78"/>
      <c r="E1" s="78"/>
      <c r="F1" s="79"/>
      <c r="G1" s="75" t="s">
        <v>125</v>
      </c>
    </row>
    <row r="2" spans="1:7" ht="30.75" thickBot="1">
      <c r="A2" s="76"/>
      <c r="B2" s="59" t="s">
        <v>37</v>
      </c>
      <c r="C2" s="59" t="s">
        <v>38</v>
      </c>
      <c r="D2" s="59" t="s">
        <v>39</v>
      </c>
      <c r="E2" s="59" t="s">
        <v>40</v>
      </c>
      <c r="F2" s="59" t="s">
        <v>41</v>
      </c>
      <c r="G2" s="76"/>
    </row>
    <row r="3" spans="1:7" ht="15.75" thickBot="1">
      <c r="A3" s="63" t="s">
        <v>126</v>
      </c>
      <c r="B3" s="61">
        <v>0.98</v>
      </c>
      <c r="C3" s="61">
        <v>0.89</v>
      </c>
      <c r="D3" s="61">
        <v>0.92</v>
      </c>
      <c r="E3" s="61">
        <v>0.85</v>
      </c>
      <c r="F3" s="62">
        <v>0.52</v>
      </c>
      <c r="G3" s="64" t="s">
        <v>127</v>
      </c>
    </row>
    <row r="4" spans="1:7" ht="15.75" thickBot="1">
      <c r="A4" s="63" t="s">
        <v>128</v>
      </c>
      <c r="B4" s="62">
        <v>0.46</v>
      </c>
      <c r="C4" s="62">
        <v>0.42</v>
      </c>
      <c r="D4" s="62">
        <v>0.37</v>
      </c>
      <c r="E4" s="61">
        <v>0.67</v>
      </c>
      <c r="F4" s="62">
        <v>0.52</v>
      </c>
      <c r="G4" s="64" t="s">
        <v>129</v>
      </c>
    </row>
    <row r="5" spans="1:7" ht="15.75" thickBot="1">
      <c r="A5" s="63" t="s">
        <v>130</v>
      </c>
      <c r="B5" s="61">
        <v>0.78</v>
      </c>
      <c r="C5" s="62">
        <v>0.3</v>
      </c>
      <c r="D5" s="61">
        <v>0.77</v>
      </c>
      <c r="E5" s="62">
        <v>0.5</v>
      </c>
      <c r="F5" s="62">
        <v>0.61</v>
      </c>
      <c r="G5" s="64" t="s">
        <v>127</v>
      </c>
    </row>
    <row r="6" spans="1:7" ht="15.75" thickBot="1">
      <c r="A6" s="63" t="s">
        <v>131</v>
      </c>
      <c r="B6" s="61">
        <v>0.95</v>
      </c>
      <c r="C6" s="62">
        <v>0.61</v>
      </c>
      <c r="D6" s="61">
        <v>1</v>
      </c>
      <c r="E6" s="61">
        <v>0.99</v>
      </c>
      <c r="F6" s="62">
        <v>0.32</v>
      </c>
      <c r="G6" s="64" t="s">
        <v>127</v>
      </c>
    </row>
    <row r="7" spans="1:7" ht="15.75" thickBot="1">
      <c r="A7" s="69"/>
      <c r="B7" s="70"/>
      <c r="C7" s="71"/>
      <c r="D7" s="70"/>
      <c r="E7" s="70"/>
      <c r="F7" s="71"/>
      <c r="G7" s="72"/>
    </row>
    <row r="8" spans="1:7" ht="15.75" thickBot="1">
      <c r="A8" s="65" t="s">
        <v>132</v>
      </c>
      <c r="B8" s="66">
        <f>AVERAGE(B3:B6)</f>
        <v>0.79249999999999998</v>
      </c>
      <c r="C8" s="67">
        <f>AVERAGE(C3:C6)</f>
        <v>0.55500000000000005</v>
      </c>
      <c r="D8" s="66">
        <f>AVERAGE(D3:D6)</f>
        <v>0.76500000000000001</v>
      </c>
      <c r="E8" s="66">
        <f>AVERAGE(E3:E6)</f>
        <v>0.75249999999999995</v>
      </c>
      <c r="F8" s="67">
        <f>AVERAGE(F3:F6)</f>
        <v>0.49249999999999999</v>
      </c>
      <c r="G8" s="68"/>
    </row>
    <row r="9" spans="1:7">
      <c r="A9" s="80" t="s">
        <v>133</v>
      </c>
      <c r="B9" s="80"/>
      <c r="C9" s="80"/>
      <c r="D9" s="80"/>
      <c r="E9" s="80"/>
      <c r="F9" s="80"/>
      <c r="G9" s="80"/>
    </row>
  </sheetData>
  <mergeCells count="4">
    <mergeCell ref="A1:A2"/>
    <mergeCell ref="B1:F1"/>
    <mergeCell ref="G1:G2"/>
    <mergeCell ref="A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9D27-2AF3-4CA0-9F28-5A1833FFEA7B}">
  <sheetPr>
    <tabColor theme="9"/>
  </sheetPr>
  <dimension ref="A1:J12"/>
  <sheetViews>
    <sheetView workbookViewId="0">
      <selection activeCell="F34" sqref="F34"/>
    </sheetView>
  </sheetViews>
  <sheetFormatPr defaultRowHeight="15"/>
  <cols>
    <col min="1" max="1" width="13.5703125" bestFit="1" customWidth="1"/>
    <col min="3" max="3" width="12" bestFit="1" customWidth="1"/>
  </cols>
  <sheetData>
    <row r="1" spans="1:10">
      <c r="A1" t="s">
        <v>75</v>
      </c>
      <c r="B1" t="s">
        <v>108</v>
      </c>
      <c r="C1" t="s">
        <v>109</v>
      </c>
      <c r="D1" t="s">
        <v>110</v>
      </c>
      <c r="E1" t="s">
        <v>112</v>
      </c>
      <c r="F1" t="s">
        <v>114</v>
      </c>
      <c r="G1" t="s">
        <v>115</v>
      </c>
      <c r="H1" t="s">
        <v>134</v>
      </c>
      <c r="I1" t="s">
        <v>135</v>
      </c>
      <c r="J1" t="s">
        <v>136</v>
      </c>
    </row>
    <row r="2" spans="1:10">
      <c r="A2">
        <v>1</v>
      </c>
      <c r="B2" t="s">
        <v>89</v>
      </c>
      <c r="C2">
        <v>37029950101</v>
      </c>
      <c r="D2">
        <v>528</v>
      </c>
      <c r="E2">
        <v>302</v>
      </c>
      <c r="F2">
        <v>395481.41930800001</v>
      </c>
      <c r="G2">
        <v>4211488300.9253001</v>
      </c>
      <c r="H2">
        <v>0.57196999999999998</v>
      </c>
      <c r="I2">
        <v>570</v>
      </c>
      <c r="J2">
        <v>1205</v>
      </c>
    </row>
    <row r="3" spans="1:10">
      <c r="A3">
        <v>2</v>
      </c>
      <c r="B3" t="s">
        <v>89</v>
      </c>
      <c r="C3">
        <v>37029950102</v>
      </c>
      <c r="D3">
        <v>1963</v>
      </c>
      <c r="E3">
        <v>293</v>
      </c>
      <c r="F3">
        <v>451607.61140400002</v>
      </c>
      <c r="G3">
        <v>2512698849.9747</v>
      </c>
      <c r="H3">
        <v>0.149261</v>
      </c>
      <c r="I3">
        <v>0</v>
      </c>
      <c r="J3">
        <v>0</v>
      </c>
    </row>
    <row r="4" spans="1:10">
      <c r="A4">
        <v>228</v>
      </c>
      <c r="B4" t="s">
        <v>89</v>
      </c>
      <c r="C4">
        <v>37139960100</v>
      </c>
      <c r="D4">
        <v>441</v>
      </c>
      <c r="E4">
        <v>105</v>
      </c>
      <c r="F4">
        <v>27543.666026999999</v>
      </c>
      <c r="G4">
        <v>18572497.434818</v>
      </c>
      <c r="H4">
        <v>0.238095</v>
      </c>
      <c r="I4" t="s">
        <v>90</v>
      </c>
      <c r="J4" t="s">
        <v>90</v>
      </c>
    </row>
    <row r="5" spans="1:10">
      <c r="A5">
        <v>229</v>
      </c>
      <c r="B5" t="s">
        <v>89</v>
      </c>
      <c r="C5">
        <v>37139960200</v>
      </c>
      <c r="D5">
        <v>565</v>
      </c>
      <c r="E5">
        <v>678</v>
      </c>
      <c r="F5">
        <v>34966.021655999997</v>
      </c>
      <c r="G5">
        <v>45922890.080683</v>
      </c>
      <c r="H5">
        <v>1.2</v>
      </c>
      <c r="I5" t="s">
        <v>90</v>
      </c>
      <c r="J5" t="s">
        <v>90</v>
      </c>
    </row>
    <row r="6" spans="1:10">
      <c r="A6">
        <v>230</v>
      </c>
      <c r="B6" t="s">
        <v>89</v>
      </c>
      <c r="C6">
        <v>37139960300</v>
      </c>
      <c r="D6">
        <v>1059</v>
      </c>
      <c r="E6">
        <v>297</v>
      </c>
      <c r="F6">
        <v>21838.020048999999</v>
      </c>
      <c r="G6">
        <v>27076707.636564001</v>
      </c>
      <c r="H6">
        <v>0.28045300000000001</v>
      </c>
      <c r="I6" t="s">
        <v>90</v>
      </c>
      <c r="J6" t="s">
        <v>90</v>
      </c>
    </row>
    <row r="7" spans="1:10">
      <c r="A7">
        <v>231</v>
      </c>
      <c r="B7" t="s">
        <v>89</v>
      </c>
      <c r="C7">
        <v>37139960400</v>
      </c>
      <c r="D7">
        <v>1094</v>
      </c>
      <c r="E7">
        <v>716</v>
      </c>
      <c r="F7">
        <v>48980.360640999999</v>
      </c>
      <c r="G7">
        <v>75949730.406038001</v>
      </c>
      <c r="H7">
        <v>0.65447900000000003</v>
      </c>
      <c r="I7" t="s">
        <v>90</v>
      </c>
      <c r="J7" t="s">
        <v>90</v>
      </c>
    </row>
    <row r="8" spans="1:10">
      <c r="A8">
        <v>232</v>
      </c>
      <c r="B8" t="s">
        <v>89</v>
      </c>
      <c r="C8">
        <v>37139960501</v>
      </c>
      <c r="D8">
        <v>748</v>
      </c>
      <c r="E8">
        <v>362</v>
      </c>
      <c r="F8">
        <v>171544.345329</v>
      </c>
      <c r="G8">
        <v>422105525.42486697</v>
      </c>
      <c r="H8">
        <v>0.48395700000000003</v>
      </c>
      <c r="I8" t="s">
        <v>90</v>
      </c>
      <c r="J8" t="s">
        <v>90</v>
      </c>
    </row>
    <row r="9" spans="1:10">
      <c r="A9">
        <v>233</v>
      </c>
      <c r="B9" t="s">
        <v>89</v>
      </c>
      <c r="C9">
        <v>37139960502</v>
      </c>
      <c r="D9">
        <v>422</v>
      </c>
      <c r="E9">
        <v>332</v>
      </c>
      <c r="F9">
        <v>100227.88821200001</v>
      </c>
      <c r="G9">
        <v>393403297.52884102</v>
      </c>
      <c r="H9">
        <v>0.78673000000000004</v>
      </c>
      <c r="I9" t="s">
        <v>90</v>
      </c>
      <c r="J9" t="s">
        <v>90</v>
      </c>
    </row>
    <row r="10" spans="1:10">
      <c r="A10">
        <v>234</v>
      </c>
      <c r="B10" t="s">
        <v>89</v>
      </c>
      <c r="C10">
        <v>37139960600</v>
      </c>
      <c r="D10">
        <v>995</v>
      </c>
      <c r="E10">
        <v>191</v>
      </c>
      <c r="F10">
        <v>154915.638458</v>
      </c>
      <c r="G10">
        <v>944681180.25818396</v>
      </c>
      <c r="H10">
        <v>0.19195999999999999</v>
      </c>
      <c r="I10" t="s">
        <v>90</v>
      </c>
      <c r="J10" t="s">
        <v>90</v>
      </c>
    </row>
    <row r="11" spans="1:10">
      <c r="A11">
        <v>235</v>
      </c>
      <c r="B11" t="s">
        <v>89</v>
      </c>
      <c r="C11">
        <v>37139960701</v>
      </c>
      <c r="D11">
        <v>511</v>
      </c>
      <c r="E11">
        <v>193</v>
      </c>
      <c r="F11">
        <v>146588.83796100001</v>
      </c>
      <c r="G11">
        <v>647845209.52558506</v>
      </c>
      <c r="H11">
        <v>0.377691</v>
      </c>
      <c r="I11" t="s">
        <v>90</v>
      </c>
      <c r="J11" t="s">
        <v>90</v>
      </c>
    </row>
    <row r="12" spans="1:10">
      <c r="A12">
        <v>236</v>
      </c>
      <c r="B12" t="s">
        <v>89</v>
      </c>
      <c r="C12">
        <v>37139960702</v>
      </c>
      <c r="D12">
        <v>629</v>
      </c>
      <c r="E12">
        <v>235</v>
      </c>
      <c r="F12">
        <v>282719.94259599998</v>
      </c>
      <c r="G12">
        <v>1536655333.1691101</v>
      </c>
      <c r="H12">
        <v>0.37360900000000002</v>
      </c>
      <c r="I12" t="s">
        <v>90</v>
      </c>
      <c r="J12" t="s">
        <v>90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781B-C731-4B31-8564-681A6E08DF92}">
  <sheetPr>
    <tabColor theme="0"/>
  </sheetPr>
  <dimension ref="A1:B5"/>
  <sheetViews>
    <sheetView workbookViewId="0">
      <selection activeCell="D6" sqref="D6"/>
    </sheetView>
  </sheetViews>
  <sheetFormatPr defaultRowHeight="15"/>
  <cols>
    <col min="1" max="1" width="29.7109375" customWidth="1"/>
  </cols>
  <sheetData>
    <row r="1" spans="1:2">
      <c r="A1" s="17" t="s">
        <v>137</v>
      </c>
      <c r="B1" s="18" t="s">
        <v>0</v>
      </c>
    </row>
    <row r="2" spans="1:2" ht="30">
      <c r="A2" s="19" t="s">
        <v>138</v>
      </c>
      <c r="B2" t="s">
        <v>129</v>
      </c>
    </row>
    <row r="3" spans="1:2" ht="45">
      <c r="A3" s="19" t="s">
        <v>139</v>
      </c>
      <c r="B3" s="20" t="s">
        <v>127</v>
      </c>
    </row>
    <row r="4" spans="1:2" ht="45">
      <c r="A4" s="19" t="s">
        <v>140</v>
      </c>
      <c r="B4" s="20" t="s">
        <v>127</v>
      </c>
    </row>
    <row r="5" spans="1:2" ht="45">
      <c r="A5" s="19" t="s">
        <v>141</v>
      </c>
      <c r="B5" s="20" t="s">
        <v>127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393472C3DE040B1E0F73659484C9F" ma:contentTypeVersion="4" ma:contentTypeDescription="Create a new document." ma:contentTypeScope="" ma:versionID="c93ed33da29368c6515088cfc32e00d4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efdbcfcc-50c0-41f0-bbe5-47229923c478" targetNamespace="http://schemas.microsoft.com/office/2006/metadata/properties" ma:root="true" ma:fieldsID="555c9df951947a1945b0f1a7159ca88c" ns1:_="" ns2:_="" ns3:_="">
    <xsd:import namespace="http://schemas.microsoft.com/sharepoint/v3"/>
    <xsd:import namespace="16f00c2e-ac5c-418b-9f13-a0771dbd417d"/>
    <xsd:import namespace="efdbcfcc-50c0-41f0-bbe5-47229923c4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bcfcc-50c0-41f0-bbe5-47229923c478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fdbcfcc-50c0-41f0-bbe5-47229923c478">Appendices and Supporting Information</Category>
    <URL xmlns="http://schemas.microsoft.com/sharepoint/v3">
      <Url xsi:nil="true"/>
      <Description xsi:nil="true"/>
    </URL>
    <PublishingExpirationDate xmlns="http://schemas.microsoft.com/sharepoint/v3" xsi:nil="true"/>
    <SortOrder xmlns="efdbcfcc-50c0-41f0-bbe5-47229923c478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5FD2C58-34FF-4498-8F77-DC486295BCD9}"/>
</file>

<file path=customXml/itemProps2.xml><?xml version="1.0" encoding="utf-8"?>
<ds:datastoreItem xmlns:ds="http://schemas.openxmlformats.org/officeDocument/2006/customXml" ds:itemID="{D39633CD-0BA7-4D63-8CBF-A8AF71E3EA66}"/>
</file>

<file path=customXml/itemProps3.xml><?xml version="1.0" encoding="utf-8"?>
<ds:datastoreItem xmlns:ds="http://schemas.openxmlformats.org/officeDocument/2006/customXml" ds:itemID="{0EC52524-0E53-4FC3-98EA-3128BBE5978A}"/>
</file>

<file path=customXml/itemProps4.xml><?xml version="1.0" encoding="utf-8"?>
<ds:datastoreItem xmlns:ds="http://schemas.openxmlformats.org/officeDocument/2006/customXml" ds:itemID="{78E5462F-9EA7-46B6-9B66-3F08DB95F2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Normile</dc:creator>
  <cp:keywords/>
  <dc:description/>
  <cp:lastModifiedBy>Emily Scott-Cruz</cp:lastModifiedBy>
  <cp:revision/>
  <dcterms:created xsi:type="dcterms:W3CDTF">2024-09-03T15:51:51Z</dcterms:created>
  <dcterms:modified xsi:type="dcterms:W3CDTF">2024-09-11T18:35:43Z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0x010100AFF393472C3DE040B1E0F73659484C9F</vt:lpwstr>
  </property>
  <property fmtid="{D5CDD505-2E9C-101B-9397-08002B2CF9AE}" pid="4" name="Order">
    <vt:r8>4800</vt:r8>
  </property>
</Properties>
</file>